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defaultThemeVersion="124226"/>
  <mc:AlternateContent xmlns:mc="http://schemas.openxmlformats.org/markup-compatibility/2006">
    <mc:Choice Requires="x15">
      <x15ac:absPath xmlns:x15ac="http://schemas.microsoft.com/office/spreadsheetml/2010/11/ac" url="C:\Users\oliver.waissbein\Documents\UNDP 2\Renewable Energy\2013 04 Apr DREI Original\Presentations\2016 11 Nov Berlin GIZ\Case Study\"/>
    </mc:Choice>
  </mc:AlternateContent>
  <bookViews>
    <workbookView xWindow="0" yWindow="0" windowWidth="23040" windowHeight="9108" tabRatio="863"/>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Additional Data" sheetId="9" r:id="rId8"/>
    <sheet name="VIII. Supplementary Info" sheetId="14" r:id="rId9"/>
    <sheet name="IX. Notes" sheetId="19" r:id="rId10"/>
    <sheet name="xx. Sensitivity Outputs" sheetId="18" state="hidden" r:id="rId11"/>
    <sheet name="xx. Report Table" sheetId="16" state="hidden" r:id="rId12"/>
    <sheet name="Backup" sheetId="5" state="hidden" r:id="rId13"/>
  </sheets>
  <externalReferences>
    <externalReference r:id="rId14"/>
    <externalReference r:id="rId15"/>
  </externalReferences>
  <definedNames>
    <definedName name="BAUselection" localSheetId="9">[1]Backup!$F$8:$F$9</definedName>
    <definedName name="BAUselection">Backup!$F$8:$F$9</definedName>
    <definedName name="Debt_ratio">'[2]Financial Summary'!$K$14</definedName>
    <definedName name="Debt_term">'[2]Financial Summary'!$K$16</definedName>
    <definedName name="Effectiveness" localSheetId="9">[1]Backup!#REF!</definedName>
    <definedName name="Effectiveness" localSheetId="6">Backup!#REF!</definedName>
    <definedName name="Effectiveness" localSheetId="8">Backup!#REF!</definedName>
    <definedName name="Effectiveness" localSheetId="11">Backup!#REF!</definedName>
    <definedName name="Effectiveness" localSheetId="10">Backup!#REF!</definedName>
    <definedName name="Effectiveness">Backup!#REF!</definedName>
    <definedName name="EffectivenessDebt">Backup!$J$21:$J$25</definedName>
    <definedName name="EffectivenessEquity">Backup!$J$15:$J$19</definedName>
    <definedName name="fuelcostmb" localSheetId="9">[1]Backup!$C$17:$C$20</definedName>
    <definedName name="fuelcostmb">Backup!$C$17:$C$20</definedName>
    <definedName name="GHG">'[2]GHG Analysis'!$F$131</definedName>
    <definedName name="GHGReduc">'[2]Financial Summary'!$S$61</definedName>
    <definedName name="GridType">'[2]Energy Model'!$C$58</definedName>
    <definedName name="InputMethod" localSheetId="9">[1]Backup!$J$8:$J$9</definedName>
    <definedName name="InputMethod">Backup!$J$8:$J$9</definedName>
    <definedName name="InstrumentSelection" localSheetId="9">[1]Backup!#REF!</definedName>
    <definedName name="InstrumentSelection" localSheetId="6">Backup!#REF!</definedName>
    <definedName name="InstrumentSelection" localSheetId="8">Backup!#REF!</definedName>
    <definedName name="InstrumentSelection" localSheetId="11">Backup!#REF!</definedName>
    <definedName name="InstrumentSelection" localSheetId="10">Backup!#REF!</definedName>
    <definedName name="InstrumentSelection">Backup!#REF!</definedName>
    <definedName name="InstrumentSelectionMB" localSheetId="9">[1]Backup!$C$8:$C$9</definedName>
    <definedName name="InstrumentSelectionMB">Backup!$C$8:$C$9</definedName>
    <definedName name="Multiplier" localSheetId="9">[1]Backup!$J$37:$J$38</definedName>
    <definedName name="Multiplier">Backup!$J$37:$J$38</definedName>
    <definedName name="OperationsandMaint" localSheetId="9">[1]Backup!$F$14:$F$15</definedName>
    <definedName name="OperationsandMaint">Backup!$F$14:$F$15</definedName>
    <definedName name="POLICYCOSTING" localSheetId="9">[1]Backup!$J$34:$J$35</definedName>
    <definedName name="POLICYCOSTING">Backup!$J$34:$J$35</definedName>
    <definedName name="Prederiskingselection">Backup!$F$8:$F$9</definedName>
    <definedName name="_xlnm.Print_Area" localSheetId="3">'III. Inputs, Renewable Energy'!$A$1:$AN$233</definedName>
    <definedName name="_xlnm.Print_Area" localSheetId="0">Introduction!$A$1:$R$89</definedName>
    <definedName name="_xlnm.Print_Area" localSheetId="4">'IV. LCOE, Baseline Energy Mix'!$A$1:$AA$848</definedName>
    <definedName name="_xlnm.Print_Area" localSheetId="9">'IX. Notes'!$A$1:$AN$6</definedName>
    <definedName name="_xlnm.Print_Area" localSheetId="8">'VIII. Supplementary Info'!$A$1:$Q$33</definedName>
    <definedName name="_xlnm.Print_Area" localSheetId="11">'xx. Report Table'!$A$1:$AM$4</definedName>
    <definedName name="_xlnm.Print_Area" localSheetId="10">'xx. Sensitivity Outputs'!$A$1:$AP$693</definedName>
    <definedName name="REProduc">'[2]Financial Summary'!$R$117</definedName>
    <definedName name="SELECTION" localSheetId="9">[1]Backup!$J$11:$J$12</definedName>
    <definedName name="SELECTION">Backup!$J$11:$J$12</definedName>
    <definedName name="TIME">Backup!$J$27:$J$31</definedName>
    <definedName name="TimeEffect" localSheetId="9">[1]Backup!#REF!</definedName>
    <definedName name="TimeEffect" localSheetId="6">Backup!#REF!</definedName>
    <definedName name="TimeEffect" localSheetId="8">Backup!#REF!</definedName>
    <definedName name="TimeEffect" localSheetId="11">Backup!#REF!</definedName>
    <definedName name="TimeEffect" localSheetId="10">Backup!#REF!</definedName>
    <definedName name="TimeEffect">Backup!#REF!</definedName>
    <definedName name="VisGHGCr">'[2]Financial Summary'!$AE$61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T56" i="9" l="1"/>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Y89" i="8" l="1"/>
  <c r="Y84" i="8"/>
  <c r="X89" i="8"/>
  <c r="X84" i="8"/>
  <c r="V29" i="8" l="1"/>
  <c r="V28" i="8"/>
  <c r="N42" i="1" l="1"/>
  <c r="U215" i="8" l="1"/>
  <c r="U216" i="8" l="1"/>
  <c r="L25" i="1" l="1"/>
  <c r="L33" i="1" s="1"/>
  <c r="J19" i="16" s="1"/>
  <c r="H114" i="4"/>
  <c r="V31" i="8"/>
  <c r="G277" i="4"/>
  <c r="M283" i="4" s="1"/>
  <c r="V32" i="8"/>
  <c r="G296" i="4"/>
  <c r="M304" i="4" s="1"/>
  <c r="M310" i="4" s="1"/>
  <c r="V33" i="8"/>
  <c r="G300" i="4"/>
  <c r="F339" i="4"/>
  <c r="H345" i="4" s="1"/>
  <c r="F340" i="4"/>
  <c r="F377" i="4"/>
  <c r="G377" i="4" s="1"/>
  <c r="D371" i="4"/>
  <c r="F378" i="4"/>
  <c r="G378" i="4" s="1"/>
  <c r="I114" i="4"/>
  <c r="I128" i="4"/>
  <c r="I121" i="4"/>
  <c r="I346" i="4"/>
  <c r="I123" i="4" s="1"/>
  <c r="J114" i="4"/>
  <c r="J128" i="4" s="1"/>
  <c r="J121" i="4"/>
  <c r="J129" i="4"/>
  <c r="J346" i="4"/>
  <c r="K114" i="4"/>
  <c r="K121" i="4"/>
  <c r="K346" i="4"/>
  <c r="L114" i="4"/>
  <c r="L128" i="4"/>
  <c r="L121" i="4"/>
  <c r="L129" i="4"/>
  <c r="M114" i="4"/>
  <c r="M128" i="4" s="1"/>
  <c r="M121" i="4"/>
  <c r="M129" i="4" s="1"/>
  <c r="N114" i="4"/>
  <c r="N128" i="4" s="1"/>
  <c r="N121" i="4"/>
  <c r="N129" i="4" s="1"/>
  <c r="O114" i="4"/>
  <c r="O154" i="4" s="1"/>
  <c r="O128" i="4"/>
  <c r="O121" i="4"/>
  <c r="P114" i="4"/>
  <c r="P128" i="4" s="1"/>
  <c r="P121" i="4"/>
  <c r="P129" i="4" s="1"/>
  <c r="Q114" i="4"/>
  <c r="Q121" i="4"/>
  <c r="Q129" i="4" s="1"/>
  <c r="R114" i="4"/>
  <c r="R128" i="4" s="1"/>
  <c r="R121" i="4"/>
  <c r="R129" i="4"/>
  <c r="S114" i="4"/>
  <c r="S128" i="4" s="1"/>
  <c r="S121" i="4"/>
  <c r="S129" i="4"/>
  <c r="T114" i="4"/>
  <c r="T128" i="4" s="1"/>
  <c r="T121" i="4"/>
  <c r="T129" i="4"/>
  <c r="U114" i="4"/>
  <c r="U128" i="4" s="1"/>
  <c r="U121" i="4"/>
  <c r="V114" i="4"/>
  <c r="V154" i="4" s="1"/>
  <c r="V121" i="4"/>
  <c r="V129" i="4" s="1"/>
  <c r="V304" i="4"/>
  <c r="V310" i="4" s="1"/>
  <c r="W114" i="4"/>
  <c r="W128" i="4" s="1"/>
  <c r="W121" i="4"/>
  <c r="W129" i="4" s="1"/>
  <c r="W346" i="4"/>
  <c r="W123" i="4" s="1"/>
  <c r="W131" i="4" s="1"/>
  <c r="X114" i="4"/>
  <c r="X128" i="4" s="1"/>
  <c r="X121" i="4"/>
  <c r="X129" i="4" s="1"/>
  <c r="Y114" i="4"/>
  <c r="Y128" i="4" s="1"/>
  <c r="Y121" i="4"/>
  <c r="Y129" i="4" s="1"/>
  <c r="Z114" i="4"/>
  <c r="Z121" i="4"/>
  <c r="Z129" i="4" s="1"/>
  <c r="AA114" i="4"/>
  <c r="AA121" i="4"/>
  <c r="AA129" i="4" s="1"/>
  <c r="AA346" i="4"/>
  <c r="AA123" i="4" s="1"/>
  <c r="AA131" i="4" s="1"/>
  <c r="G134" i="4"/>
  <c r="H128" i="17"/>
  <c r="G296" i="17"/>
  <c r="T303" i="17" s="1"/>
  <c r="G300" i="17"/>
  <c r="AA316" i="17" s="1"/>
  <c r="AA122" i="17" s="1"/>
  <c r="F339" i="17"/>
  <c r="H345" i="17" s="1"/>
  <c r="F340" i="17"/>
  <c r="G377" i="17"/>
  <c r="D371" i="17"/>
  <c r="O373" i="17" s="1"/>
  <c r="G378" i="17"/>
  <c r="I378" i="17" s="1"/>
  <c r="I128" i="17"/>
  <c r="I121" i="17"/>
  <c r="I129" i="17" s="1"/>
  <c r="I373" i="17"/>
  <c r="J128" i="17"/>
  <c r="J121" i="17"/>
  <c r="J129" i="17" s="1"/>
  <c r="J346" i="17"/>
  <c r="J373" i="17"/>
  <c r="K128" i="17"/>
  <c r="K121" i="17"/>
  <c r="K129" i="17" s="1"/>
  <c r="L128" i="17"/>
  <c r="L121" i="17"/>
  <c r="L129" i="17" s="1"/>
  <c r="M128" i="17"/>
  <c r="M121" i="17"/>
  <c r="M129" i="17" s="1"/>
  <c r="M373" i="17"/>
  <c r="N128" i="17"/>
  <c r="N121" i="17"/>
  <c r="N129" i="17"/>
  <c r="O128" i="17"/>
  <c r="O121" i="17"/>
  <c r="P128" i="17"/>
  <c r="P121" i="17"/>
  <c r="P129" i="17"/>
  <c r="P373" i="17"/>
  <c r="Q128" i="17"/>
  <c r="Q121" i="17"/>
  <c r="Q129" i="17"/>
  <c r="Q346" i="17"/>
  <c r="Q373" i="17"/>
  <c r="R128" i="17"/>
  <c r="R121" i="17"/>
  <c r="R129" i="17"/>
  <c r="R373" i="17"/>
  <c r="S128" i="17"/>
  <c r="S121" i="17"/>
  <c r="S129" i="17" s="1"/>
  <c r="S346" i="17"/>
  <c r="S123" i="17" s="1"/>
  <c r="S131" i="17" s="1"/>
  <c r="S373" i="17"/>
  <c r="T128" i="17"/>
  <c r="T121" i="17"/>
  <c r="T129" i="17"/>
  <c r="T373" i="17"/>
  <c r="U128" i="17"/>
  <c r="U121" i="17"/>
  <c r="U129" i="17"/>
  <c r="U346" i="17"/>
  <c r="V128" i="17"/>
  <c r="V121" i="17"/>
  <c r="V129" i="17" s="1"/>
  <c r="V373" i="17"/>
  <c r="W128" i="17"/>
  <c r="W121" i="17"/>
  <c r="W373" i="17"/>
  <c r="X128" i="17"/>
  <c r="X121" i="17"/>
  <c r="X373" i="17"/>
  <c r="Y128" i="17"/>
  <c r="Y121" i="17"/>
  <c r="Y373" i="17"/>
  <c r="Z128" i="17"/>
  <c r="Z121" i="17"/>
  <c r="Z129" i="17" s="1"/>
  <c r="Z373" i="17"/>
  <c r="AA128" i="17"/>
  <c r="AA121" i="17"/>
  <c r="AA373" i="17"/>
  <c r="G134" i="17"/>
  <c r="G55"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L15" i="1"/>
  <c r="J15" i="16" s="1"/>
  <c r="G101"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M15" i="1"/>
  <c r="G149"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N15" i="1"/>
  <c r="G195"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O15" i="1"/>
  <c r="G243"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P15" i="1"/>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Q15" i="1"/>
  <c r="L34" i="1"/>
  <c r="J20" i="16" s="1"/>
  <c r="N114" i="1"/>
  <c r="N115" i="1"/>
  <c r="L69" i="16" s="1"/>
  <c r="L31" i="1"/>
  <c r="U246" i="8"/>
  <c r="U247" i="8"/>
  <c r="N119" i="1"/>
  <c r="L73" i="16" s="1"/>
  <c r="N120" i="1"/>
  <c r="L74" i="16" s="1"/>
  <c r="N103" i="1"/>
  <c r="N104" i="1"/>
  <c r="L59" i="16" s="1"/>
  <c r="N105" i="1"/>
  <c r="L60" i="16" s="1"/>
  <c r="N106" i="1"/>
  <c r="L61" i="16" s="1"/>
  <c r="N107" i="1"/>
  <c r="L62" i="16" s="1"/>
  <c r="N108" i="1"/>
  <c r="N109" i="1"/>
  <c r="L64" i="16" s="1"/>
  <c r="G46" i="4"/>
  <c r="H24" i="4"/>
  <c r="H38" i="4" s="1"/>
  <c r="S31" i="8"/>
  <c r="S32" i="8"/>
  <c r="S33" i="8"/>
  <c r="G223" i="4"/>
  <c r="H239" i="4" s="1"/>
  <c r="S185" i="8"/>
  <c r="G224" i="4" s="1"/>
  <c r="AA240" i="4" s="1"/>
  <c r="AA32" i="4" s="1"/>
  <c r="F263" i="4"/>
  <c r="H269" i="4" s="1"/>
  <c r="F264" i="4"/>
  <c r="R270" i="4" s="1"/>
  <c r="G244" i="4"/>
  <c r="F363" i="4"/>
  <c r="G363" i="4" s="1"/>
  <c r="D357" i="4"/>
  <c r="Q359" i="4" s="1"/>
  <c r="F364" i="4"/>
  <c r="G364" i="4" s="1"/>
  <c r="I24" i="4"/>
  <c r="I31" i="4"/>
  <c r="I39" i="4" s="1"/>
  <c r="J24" i="4"/>
  <c r="J38" i="4" s="1"/>
  <c r="J31" i="4"/>
  <c r="J39" i="4" s="1"/>
  <c r="K24" i="4"/>
  <c r="K38" i="4" s="1"/>
  <c r="K31" i="4"/>
  <c r="K39" i="4" s="1"/>
  <c r="K240" i="4"/>
  <c r="K32" i="4" s="1"/>
  <c r="K40" i="4" s="1"/>
  <c r="L24" i="4"/>
  <c r="L38" i="4" s="1"/>
  <c r="L31" i="4"/>
  <c r="M24" i="4"/>
  <c r="M31" i="4"/>
  <c r="M39" i="4" s="1"/>
  <c r="M240" i="4"/>
  <c r="M32" i="4" s="1"/>
  <c r="M40" i="4" s="1"/>
  <c r="N24" i="4"/>
  <c r="N38" i="4" s="1"/>
  <c r="N31" i="4"/>
  <c r="N39" i="4" s="1"/>
  <c r="O24" i="4"/>
  <c r="O31" i="4"/>
  <c r="O39" i="4"/>
  <c r="O270" i="4"/>
  <c r="P24" i="4"/>
  <c r="P38" i="4" s="1"/>
  <c r="P31" i="4"/>
  <c r="P39" i="4"/>
  <c r="P240" i="4"/>
  <c r="P32" i="4" s="1"/>
  <c r="Q24" i="4"/>
  <c r="Q38" i="4" s="1"/>
  <c r="Q31" i="4"/>
  <c r="Q39" i="4" s="1"/>
  <c r="Q240" i="4"/>
  <c r="Q32" i="4" s="1"/>
  <c r="R24" i="4"/>
  <c r="R38" i="4" s="1"/>
  <c r="R31" i="4"/>
  <c r="R39" i="4" s="1"/>
  <c r="S24" i="4"/>
  <c r="S38" i="4" s="1"/>
  <c r="S31" i="4"/>
  <c r="S39" i="4"/>
  <c r="S240" i="4"/>
  <c r="S32" i="4" s="1"/>
  <c r="S40" i="4" s="1"/>
  <c r="T24" i="4"/>
  <c r="T38" i="4" s="1"/>
  <c r="T31" i="4"/>
  <c r="U24" i="4"/>
  <c r="U64" i="4" s="1"/>
  <c r="U31" i="4"/>
  <c r="U39" i="4"/>
  <c r="V24" i="4"/>
  <c r="V64" i="4" s="1"/>
  <c r="V31" i="4"/>
  <c r="V39" i="4"/>
  <c r="W24" i="4"/>
  <c r="W38" i="4" s="1"/>
  <c r="W31" i="4"/>
  <c r="W39" i="4" s="1"/>
  <c r="X24" i="4"/>
  <c r="X38" i="4" s="1"/>
  <c r="X31" i="4"/>
  <c r="X39" i="4" s="1"/>
  <c r="Y24" i="4"/>
  <c r="Y31" i="4"/>
  <c r="Y39" i="4" s="1"/>
  <c r="Y240" i="4"/>
  <c r="Y32" i="4" s="1"/>
  <c r="Y40" i="4" s="1"/>
  <c r="Z24" i="4"/>
  <c r="Z38" i="4" s="1"/>
  <c r="Z31" i="4"/>
  <c r="Z39" i="4"/>
  <c r="Z240" i="4"/>
  <c r="Z32" i="4" s="1"/>
  <c r="Z248" i="4"/>
  <c r="AA24" i="4"/>
  <c r="AA31" i="4"/>
  <c r="AA249" i="4"/>
  <c r="AA255" i="4" s="1"/>
  <c r="G44" i="4"/>
  <c r="G46" i="17"/>
  <c r="H38" i="17"/>
  <c r="G201" i="17"/>
  <c r="G223" i="17"/>
  <c r="H239" i="17" s="1"/>
  <c r="G224" i="17"/>
  <c r="H240" i="17"/>
  <c r="F263" i="17"/>
  <c r="H269" i="17" s="1"/>
  <c r="F264" i="17"/>
  <c r="G244" i="17"/>
  <c r="G363" i="17"/>
  <c r="D357" i="17"/>
  <c r="V359" i="17" s="1"/>
  <c r="G364" i="17"/>
  <c r="I364" i="17" s="1"/>
  <c r="I38" i="17"/>
  <c r="I31" i="17"/>
  <c r="I270" i="17"/>
  <c r="J38" i="17"/>
  <c r="J31" i="17"/>
  <c r="J39" i="17"/>
  <c r="J240" i="17"/>
  <c r="J32" i="17" s="1"/>
  <c r="J40" i="17" s="1"/>
  <c r="K38" i="17"/>
  <c r="K31" i="17"/>
  <c r="K39" i="17"/>
  <c r="K240" i="17"/>
  <c r="K32" i="17" s="1"/>
  <c r="K40" i="17" s="1"/>
  <c r="K270" i="17"/>
  <c r="L38" i="17"/>
  <c r="L31" i="17"/>
  <c r="L39" i="17" s="1"/>
  <c r="L240" i="17"/>
  <c r="L32" i="17" s="1"/>
  <c r="L40" i="17" s="1"/>
  <c r="L270" i="17"/>
  <c r="L271" i="17" s="1"/>
  <c r="L364" i="17"/>
  <c r="M38" i="17"/>
  <c r="M31" i="17"/>
  <c r="M75" i="17" s="1"/>
  <c r="M39" i="17"/>
  <c r="M240" i="17"/>
  <c r="M32" i="17" s="1"/>
  <c r="M270" i="17"/>
  <c r="N38" i="17"/>
  <c r="N31" i="17"/>
  <c r="N39" i="17" s="1"/>
  <c r="N270" i="17"/>
  <c r="O38" i="17"/>
  <c r="O31" i="17"/>
  <c r="O39" i="17" s="1"/>
  <c r="O240" i="17"/>
  <c r="O32" i="17" s="1"/>
  <c r="O76" i="17" s="1"/>
  <c r="O270" i="17"/>
  <c r="O271" i="17" s="1"/>
  <c r="P38" i="17"/>
  <c r="P31" i="17"/>
  <c r="P39" i="17"/>
  <c r="P240" i="17"/>
  <c r="P32" i="17" s="1"/>
  <c r="P40" i="17" s="1"/>
  <c r="P270" i="17"/>
  <c r="P359" i="17"/>
  <c r="Q38" i="17"/>
  <c r="Q31" i="17"/>
  <c r="Q39" i="17" s="1"/>
  <c r="Q240" i="17"/>
  <c r="Q32" i="17" s="1"/>
  <c r="Q40" i="17" s="1"/>
  <c r="R38" i="17"/>
  <c r="R31" i="17"/>
  <c r="R39" i="17" s="1"/>
  <c r="R240" i="17"/>
  <c r="R32" i="17" s="1"/>
  <c r="R270" i="17"/>
  <c r="R33" i="17" s="1"/>
  <c r="R77" i="17" s="1"/>
  <c r="R364" i="17"/>
  <c r="S38" i="17"/>
  <c r="S31" i="17"/>
  <c r="S39" i="17"/>
  <c r="S240" i="17"/>
  <c r="S32" i="17" s="1"/>
  <c r="S270" i="17"/>
  <c r="T38" i="17"/>
  <c r="T31" i="17"/>
  <c r="T39" i="17"/>
  <c r="T270" i="17"/>
  <c r="T33" i="17" s="1"/>
  <c r="T41" i="17" s="1"/>
  <c r="U38" i="17"/>
  <c r="U31" i="17"/>
  <c r="U39" i="17"/>
  <c r="U240" i="17"/>
  <c r="U32" i="17" s="1"/>
  <c r="U76" i="17" s="1"/>
  <c r="U364" i="17"/>
  <c r="V38" i="17"/>
  <c r="V31" i="17"/>
  <c r="V240" i="17"/>
  <c r="V32" i="17" s="1"/>
  <c r="V40" i="17" s="1"/>
  <c r="W38" i="17"/>
  <c r="W31" i="17"/>
  <c r="W39" i="17" s="1"/>
  <c r="W240" i="17"/>
  <c r="W32" i="17" s="1"/>
  <c r="W76" i="17" s="1"/>
  <c r="X38" i="17"/>
  <c r="X31" i="17"/>
  <c r="X240" i="17"/>
  <c r="X32" i="17" s="1"/>
  <c r="X270" i="17"/>
  <c r="X33" i="17" s="1"/>
  <c r="Y38" i="17"/>
  <c r="Y31" i="17"/>
  <c r="Y39" i="17"/>
  <c r="Y270" i="17"/>
  <c r="Y248" i="17"/>
  <c r="Y30" i="17" s="1"/>
  <c r="Y74" i="17" s="1"/>
  <c r="Z38" i="17"/>
  <c r="Z31" i="17"/>
  <c r="Z39" i="17" s="1"/>
  <c r="Z240" i="17"/>
  <c r="Z32" i="17" s="1"/>
  <c r="Z40" i="17" s="1"/>
  <c r="Z270" i="17"/>
  <c r="AA38" i="17"/>
  <c r="AA31" i="17"/>
  <c r="AA39" i="17" s="1"/>
  <c r="AA270" i="17"/>
  <c r="AA33" i="17" s="1"/>
  <c r="G44" i="17"/>
  <c r="P93" i="18"/>
  <c r="L114" i="1"/>
  <c r="J68" i="16"/>
  <c r="L103" i="1"/>
  <c r="J58" i="16" s="1"/>
  <c r="S38" i="8"/>
  <c r="L47" i="1" s="1"/>
  <c r="J31" i="16" s="1"/>
  <c r="V39" i="8"/>
  <c r="G298" i="17" s="1"/>
  <c r="S39" i="8"/>
  <c r="L48" i="1"/>
  <c r="L44" i="1"/>
  <c r="Y146" i="8"/>
  <c r="Y91" i="8" s="1"/>
  <c r="X146" i="8"/>
  <c r="X91" i="8" s="1"/>
  <c r="W146" i="8"/>
  <c r="W91" i="8" s="1"/>
  <c r="V146" i="8"/>
  <c r="V91" i="8" s="1"/>
  <c r="Y145" i="8"/>
  <c r="Y90" i="8" s="1"/>
  <c r="X145" i="8"/>
  <c r="X90" i="8" s="1"/>
  <c r="W145" i="8"/>
  <c r="W90" i="8" s="1"/>
  <c r="Q39" i="18" s="1"/>
  <c r="V145" i="8"/>
  <c r="V90" i="8" s="1"/>
  <c r="Y143" i="8"/>
  <c r="W143" i="8"/>
  <c r="Y142" i="8"/>
  <c r="X142" i="8"/>
  <c r="W142" i="8"/>
  <c r="V142" i="8"/>
  <c r="Y141" i="8"/>
  <c r="X141" i="8"/>
  <c r="W141" i="8"/>
  <c r="V141" i="8"/>
  <c r="V129" i="8"/>
  <c r="V83" i="8" s="1"/>
  <c r="V130" i="8"/>
  <c r="V131" i="8"/>
  <c r="V132" i="8"/>
  <c r="V86" i="8" s="1"/>
  <c r="V133" i="8"/>
  <c r="V87" i="8" s="1"/>
  <c r="P36" i="18" s="1"/>
  <c r="V134" i="8"/>
  <c r="V88" i="8" s="1"/>
  <c r="V135" i="8"/>
  <c r="V43" i="8"/>
  <c r="G278" i="4"/>
  <c r="Y133" i="8"/>
  <c r="Y134" i="8"/>
  <c r="S38" i="18"/>
  <c r="Y129" i="8"/>
  <c r="Y83" i="8" s="1"/>
  <c r="Y131" i="8"/>
  <c r="Y85" i="8" s="1"/>
  <c r="S34" i="18" s="1"/>
  <c r="Y132" i="8"/>
  <c r="Y86" i="8" s="1"/>
  <c r="S35" i="18"/>
  <c r="U74" i="8"/>
  <c r="O24" i="18" s="1"/>
  <c r="V48" i="8"/>
  <c r="H108" i="4"/>
  <c r="N110" i="4" s="1"/>
  <c r="N148" i="4" s="1"/>
  <c r="G278" i="17"/>
  <c r="F377" i="17"/>
  <c r="F378" i="17"/>
  <c r="H108" i="17"/>
  <c r="V110" i="17" s="1"/>
  <c r="V148" i="17" s="1"/>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H24" i="7"/>
  <c r="H46" i="7" s="1"/>
  <c r="H30" i="7"/>
  <c r="H27" i="7"/>
  <c r="H26" i="7" s="1"/>
  <c r="N32" i="6"/>
  <c r="G304" i="7"/>
  <c r="H320" i="7" s="1"/>
  <c r="N33" i="6"/>
  <c r="N34" i="6" s="1"/>
  <c r="G323" i="7"/>
  <c r="H341" i="7" s="1"/>
  <c r="G346" i="7"/>
  <c r="G326" i="7"/>
  <c r="H342" i="7"/>
  <c r="N76" i="6"/>
  <c r="G327" i="7"/>
  <c r="H343" i="7" s="1"/>
  <c r="G366" i="7"/>
  <c r="H372" i="7" s="1"/>
  <c r="G367" i="7"/>
  <c r="H373" i="7"/>
  <c r="G305" i="7"/>
  <c r="H309" i="7"/>
  <c r="G324" i="7"/>
  <c r="K330" i="7" s="1"/>
  <c r="K37" i="7" s="1"/>
  <c r="H330" i="7"/>
  <c r="H331" i="7"/>
  <c r="G347" i="7"/>
  <c r="G348" i="7"/>
  <c r="H351" i="7"/>
  <c r="H38" i="7" s="1"/>
  <c r="H352" i="7"/>
  <c r="F774" i="7"/>
  <c r="G774" i="7"/>
  <c r="D768" i="7"/>
  <c r="H770" i="7" s="1"/>
  <c r="F775" i="7"/>
  <c r="G775" i="7"/>
  <c r="M775" i="7" s="1"/>
  <c r="I24" i="7"/>
  <c r="I46" i="7" s="1"/>
  <c r="C18" i="9"/>
  <c r="I39" i="7"/>
  <c r="I48" i="7"/>
  <c r="I343" i="7"/>
  <c r="I40" i="7" s="1"/>
  <c r="I49" i="7" s="1"/>
  <c r="I373" i="7"/>
  <c r="I41" i="7" s="1"/>
  <c r="I50" i="7" s="1"/>
  <c r="I310" i="7"/>
  <c r="I330" i="7"/>
  <c r="I37" i="7" s="1"/>
  <c r="I331" i="7"/>
  <c r="I337" i="7" s="1"/>
  <c r="I351" i="7"/>
  <c r="I38" i="7" s="1"/>
  <c r="I352" i="7"/>
  <c r="J24" i="7"/>
  <c r="J46" i="7" s="1"/>
  <c r="J39" i="7"/>
  <c r="J48" i="7" s="1"/>
  <c r="J343" i="7"/>
  <c r="J40" i="7" s="1"/>
  <c r="J49" i="7" s="1"/>
  <c r="J373" i="7"/>
  <c r="J41" i="7" s="1"/>
  <c r="J50" i="7" s="1"/>
  <c r="J309" i="7"/>
  <c r="J330" i="7"/>
  <c r="J37" i="7" s="1"/>
  <c r="J331" i="7"/>
  <c r="J351" i="7"/>
  <c r="J38" i="7" s="1"/>
  <c r="J352" i="7"/>
  <c r="K24" i="7"/>
  <c r="K46" i="7" s="1"/>
  <c r="K39" i="7"/>
  <c r="K48" i="7"/>
  <c r="K373" i="7"/>
  <c r="K41" i="7" s="1"/>
  <c r="K50" i="7" s="1"/>
  <c r="K309" i="7"/>
  <c r="K331" i="7"/>
  <c r="K351" i="7"/>
  <c r="K38" i="7" s="1"/>
  <c r="K352" i="7"/>
  <c r="K358" i="7" s="1"/>
  <c r="L24" i="7"/>
  <c r="L46" i="7" s="1"/>
  <c r="L39" i="7"/>
  <c r="L48" i="7" s="1"/>
  <c r="L343" i="7"/>
  <c r="L40" i="7" s="1"/>
  <c r="L49" i="7" s="1"/>
  <c r="L373" i="7"/>
  <c r="L41" i="7" s="1"/>
  <c r="L50" i="7" s="1"/>
  <c r="L309" i="7"/>
  <c r="L310" i="7"/>
  <c r="L330" i="7"/>
  <c r="L37" i="7" s="1"/>
  <c r="L331" i="7"/>
  <c r="L351" i="7"/>
  <c r="L352" i="7"/>
  <c r="L358" i="7" s="1"/>
  <c r="L770" i="7"/>
  <c r="L775" i="7"/>
  <c r="M24" i="7"/>
  <c r="M46" i="7" s="1"/>
  <c r="M39" i="7"/>
  <c r="M48" i="7"/>
  <c r="M373" i="7"/>
  <c r="M41" i="7" s="1"/>
  <c r="M50" i="7" s="1"/>
  <c r="M310" i="7"/>
  <c r="M316" i="7" s="1"/>
  <c r="M330" i="7"/>
  <c r="M37" i="7" s="1"/>
  <c r="M331" i="7"/>
  <c r="M351" i="7"/>
  <c r="M352" i="7"/>
  <c r="M358" i="7" s="1"/>
  <c r="M770" i="7"/>
  <c r="N24" i="7"/>
  <c r="N46" i="7" s="1"/>
  <c r="N39" i="7"/>
  <c r="N48" i="7"/>
  <c r="N343" i="7"/>
  <c r="N40" i="7" s="1"/>
  <c r="N49" i="7" s="1"/>
  <c r="N373" i="7"/>
  <c r="N41" i="7" s="1"/>
  <c r="N50" i="7" s="1"/>
  <c r="N310" i="7"/>
  <c r="N316" i="7" s="1"/>
  <c r="N330" i="7"/>
  <c r="N37" i="7" s="1"/>
  <c r="N331" i="7"/>
  <c r="N351" i="7"/>
  <c r="N352" i="7"/>
  <c r="N358" i="7" s="1"/>
  <c r="N770" i="7"/>
  <c r="O24" i="7"/>
  <c r="O46" i="7" s="1"/>
  <c r="O39" i="7"/>
  <c r="O48" i="7" s="1"/>
  <c r="O343" i="7"/>
  <c r="O40" i="7" s="1"/>
  <c r="O49" i="7" s="1"/>
  <c r="O373" i="7"/>
  <c r="O41" i="7" s="1"/>
  <c r="O50" i="7" s="1"/>
  <c r="O309" i="7"/>
  <c r="O330" i="7"/>
  <c r="O37" i="7" s="1"/>
  <c r="O331" i="7"/>
  <c r="O337" i="7" s="1"/>
  <c r="O351" i="7"/>
  <c r="O352" i="7"/>
  <c r="O358" i="7" s="1"/>
  <c r="O770" i="7"/>
  <c r="P24" i="7"/>
  <c r="P46" i="7" s="1"/>
  <c r="P39" i="7"/>
  <c r="P48" i="7"/>
  <c r="P373" i="7"/>
  <c r="P41" i="7" s="1"/>
  <c r="P50" i="7" s="1"/>
  <c r="P309" i="7"/>
  <c r="P310" i="7"/>
  <c r="P316" i="7" s="1"/>
  <c r="P330" i="7"/>
  <c r="P37" i="7" s="1"/>
  <c r="P331" i="7"/>
  <c r="P351" i="7"/>
  <c r="P38" i="7" s="1"/>
  <c r="P352" i="7"/>
  <c r="P358" i="7" s="1"/>
  <c r="Q24" i="7"/>
  <c r="Q46" i="7" s="1"/>
  <c r="Q39" i="7"/>
  <c r="Q48" i="7" s="1"/>
  <c r="Q343" i="7"/>
  <c r="Q40" i="7" s="1"/>
  <c r="Q49" i="7" s="1"/>
  <c r="Q373" i="7"/>
  <c r="Q41" i="7" s="1"/>
  <c r="Q50" i="7" s="1"/>
  <c r="Q309" i="7"/>
  <c r="Q330" i="7"/>
  <c r="Q37" i="7" s="1"/>
  <c r="Q331" i="7"/>
  <c r="Q337" i="7" s="1"/>
  <c r="Q351" i="7"/>
  <c r="Q38" i="7" s="1"/>
  <c r="Q352" i="7"/>
  <c r="Q358" i="7" s="1"/>
  <c r="R24" i="7"/>
  <c r="R46" i="7" s="1"/>
  <c r="R39" i="7"/>
  <c r="R48" i="7" s="1"/>
  <c r="R343" i="7"/>
  <c r="R40" i="7" s="1"/>
  <c r="R49" i="7" s="1"/>
  <c r="R373" i="7"/>
  <c r="R41" i="7" s="1"/>
  <c r="R50" i="7" s="1"/>
  <c r="R309" i="7"/>
  <c r="R330" i="7"/>
  <c r="R37" i="7" s="1"/>
  <c r="R331" i="7"/>
  <c r="R351" i="7"/>
  <c r="R38" i="7" s="1"/>
  <c r="R352" i="7"/>
  <c r="R358" i="7" s="1"/>
  <c r="R770" i="7"/>
  <c r="S24" i="7"/>
  <c r="S46" i="7" s="1"/>
  <c r="S39" i="7"/>
  <c r="S48" i="7"/>
  <c r="S373" i="7"/>
  <c r="S41" i="7" s="1"/>
  <c r="S50" i="7" s="1"/>
  <c r="S309" i="7"/>
  <c r="S310" i="7"/>
  <c r="S330" i="7"/>
  <c r="S37" i="7" s="1"/>
  <c r="S331" i="7"/>
  <c r="S337" i="7" s="1"/>
  <c r="S351" i="7"/>
  <c r="S38" i="7" s="1"/>
  <c r="S352" i="7"/>
  <c r="S358" i="7" s="1"/>
  <c r="T24" i="7"/>
  <c r="T46" i="7" s="1"/>
  <c r="T39" i="7"/>
  <c r="T48" i="7"/>
  <c r="T343" i="7"/>
  <c r="T40" i="7" s="1"/>
  <c r="T49" i="7" s="1"/>
  <c r="T373" i="7"/>
  <c r="T41" i="7" s="1"/>
  <c r="T50" i="7" s="1"/>
  <c r="T309" i="7"/>
  <c r="T310" i="7"/>
  <c r="T330" i="7"/>
  <c r="T37" i="7" s="1"/>
  <c r="T331" i="7"/>
  <c r="T351" i="7"/>
  <c r="T352" i="7"/>
  <c r="T770" i="7"/>
  <c r="U24" i="7"/>
  <c r="U46" i="7" s="1"/>
  <c r="U39" i="7"/>
  <c r="U48" i="7" s="1"/>
  <c r="U373" i="7"/>
  <c r="U41" i="7" s="1"/>
  <c r="U50" i="7" s="1"/>
  <c r="U309" i="7"/>
  <c r="U330" i="7"/>
  <c r="U37" i="7" s="1"/>
  <c r="U331" i="7"/>
  <c r="U351" i="7"/>
  <c r="U352" i="7"/>
  <c r="U770" i="7"/>
  <c r="V24" i="7"/>
  <c r="V46" i="7" s="1"/>
  <c r="V39" i="7"/>
  <c r="V48" i="7" s="1"/>
  <c r="V343" i="7"/>
  <c r="V40" i="7" s="1"/>
  <c r="V49" i="7" s="1"/>
  <c r="V373" i="7"/>
  <c r="V309" i="7"/>
  <c r="V330" i="7"/>
  <c r="V37" i="7" s="1"/>
  <c r="V331" i="7"/>
  <c r="V351" i="7"/>
  <c r="V352" i="7"/>
  <c r="W24" i="7"/>
  <c r="W46" i="7" s="1"/>
  <c r="W39" i="7"/>
  <c r="W48" i="7"/>
  <c r="W373" i="7"/>
  <c r="W41" i="7" s="1"/>
  <c r="W50" i="7" s="1"/>
  <c r="W309" i="7"/>
  <c r="W310" i="7"/>
  <c r="W316" i="7" s="1"/>
  <c r="W330" i="7"/>
  <c r="W331" i="7"/>
  <c r="W351" i="7"/>
  <c r="W352" i="7"/>
  <c r="W358" i="7" s="1"/>
  <c r="X24" i="7"/>
  <c r="X46" i="7" s="1"/>
  <c r="X39" i="7"/>
  <c r="X48" i="7"/>
  <c r="X373" i="7"/>
  <c r="X41" i="7" s="1"/>
  <c r="X50" i="7" s="1"/>
  <c r="X309" i="7"/>
  <c r="X310" i="7"/>
  <c r="X316" i="7" s="1"/>
  <c r="X330" i="7"/>
  <c r="X37" i="7" s="1"/>
  <c r="X331" i="7"/>
  <c r="X337" i="7" s="1"/>
  <c r="X351" i="7"/>
  <c r="X38" i="7" s="1"/>
  <c r="X352" i="7"/>
  <c r="X358" i="7" s="1"/>
  <c r="Y24" i="7"/>
  <c r="Y46" i="7" s="1"/>
  <c r="Y39" i="7"/>
  <c r="Y48" i="7" s="1"/>
  <c r="Y343" i="7"/>
  <c r="Y40" i="7" s="1"/>
  <c r="Y49" i="7" s="1"/>
  <c r="Y373" i="7"/>
  <c r="Y41" i="7" s="1"/>
  <c r="Y50" i="7" s="1"/>
  <c r="Y309" i="7"/>
  <c r="Y330" i="7"/>
  <c r="Y37" i="7" s="1"/>
  <c r="Y331" i="7"/>
  <c r="Y337" i="7" s="1"/>
  <c r="Y351" i="7"/>
  <c r="Y38" i="7" s="1"/>
  <c r="Y352" i="7"/>
  <c r="Y358" i="7" s="1"/>
  <c r="Z24" i="7"/>
  <c r="Z46" i="7" s="1"/>
  <c r="Z39" i="7"/>
  <c r="Z48" i="7"/>
  <c r="Z373" i="7"/>
  <c r="Z41" i="7" s="1"/>
  <c r="Z50" i="7" s="1"/>
  <c r="Z309" i="7"/>
  <c r="Z310" i="7"/>
  <c r="Z316" i="7" s="1"/>
  <c r="Z330" i="7"/>
  <c r="Z37" i="7" s="1"/>
  <c r="Z331" i="7"/>
  <c r="Z337" i="7" s="1"/>
  <c r="Z351" i="7"/>
  <c r="Z38" i="7" s="1"/>
  <c r="Z352" i="7"/>
  <c r="Z358" i="7" s="1"/>
  <c r="AA24" i="7"/>
  <c r="AA46" i="7" s="1"/>
  <c r="AA39" i="7"/>
  <c r="AA48" i="7"/>
  <c r="AA343" i="7"/>
  <c r="AA40" i="7" s="1"/>
  <c r="AA49" i="7" s="1"/>
  <c r="AA373" i="7"/>
  <c r="AA41" i="7" s="1"/>
  <c r="AA50" i="7" s="1"/>
  <c r="AA309" i="7"/>
  <c r="AA310" i="7"/>
  <c r="AA316" i="7" s="1"/>
  <c r="AA330" i="7"/>
  <c r="AA37" i="7" s="1"/>
  <c r="AA331" i="7"/>
  <c r="AA351" i="7"/>
  <c r="AA38" i="7" s="1"/>
  <c r="AA352" i="7"/>
  <c r="AA358" i="7" s="1"/>
  <c r="AA770" i="7"/>
  <c r="AB24" i="7"/>
  <c r="AB46" i="7" s="1"/>
  <c r="AB39" i="7"/>
  <c r="AB48" i="7" s="1"/>
  <c r="AB343" i="7"/>
  <c r="AB40" i="7" s="1"/>
  <c r="AB49" i="7" s="1"/>
  <c r="AB373" i="7"/>
  <c r="AB41" i="7" s="1"/>
  <c r="AB50" i="7" s="1"/>
  <c r="AB309" i="7"/>
  <c r="AB310" i="7"/>
  <c r="AB316" i="7" s="1"/>
  <c r="AB330" i="7"/>
  <c r="AB37" i="7" s="1"/>
  <c r="AB331" i="7"/>
  <c r="AB351" i="7"/>
  <c r="AB38" i="7" s="1"/>
  <c r="AB352" i="7"/>
  <c r="AB358" i="7" s="1"/>
  <c r="AB770" i="7"/>
  <c r="AC24" i="7"/>
  <c r="AC46" i="7" s="1"/>
  <c r="AC39" i="7"/>
  <c r="AC48" i="7"/>
  <c r="AC373" i="7"/>
  <c r="AC41" i="7" s="1"/>
  <c r="AC50" i="7" s="1"/>
  <c r="AC309" i="7"/>
  <c r="AC310" i="7"/>
  <c r="AC330" i="7"/>
  <c r="AC37" i="7" s="1"/>
  <c r="AC331" i="7"/>
  <c r="AC351" i="7"/>
  <c r="AC352" i="7"/>
  <c r="AD24" i="7"/>
  <c r="AD46" i="7" s="1"/>
  <c r="AD39" i="7"/>
  <c r="AD48" i="7"/>
  <c r="AD373" i="7"/>
  <c r="AD41" i="7" s="1"/>
  <c r="AD50" i="7" s="1"/>
  <c r="AD309" i="7"/>
  <c r="AD310" i="7"/>
  <c r="AD316" i="7" s="1"/>
  <c r="AD330" i="7"/>
  <c r="AD37" i="7" s="1"/>
  <c r="AD331" i="7"/>
  <c r="AD351" i="7"/>
  <c r="AD352" i="7"/>
  <c r="AD36" i="7"/>
  <c r="AE24" i="7"/>
  <c r="AE46" i="7" s="1"/>
  <c r="AE39" i="7"/>
  <c r="AE48" i="7" s="1"/>
  <c r="AE373" i="7"/>
  <c r="AE41" i="7" s="1"/>
  <c r="AE50" i="7" s="1"/>
  <c r="AE309" i="7"/>
  <c r="AE310" i="7"/>
  <c r="AE316" i="7" s="1"/>
  <c r="AE330" i="7"/>
  <c r="AE331" i="7"/>
  <c r="AE351" i="7"/>
  <c r="AE38" i="7" s="1"/>
  <c r="AE352" i="7"/>
  <c r="AE358" i="7" s="1"/>
  <c r="AF24" i="7"/>
  <c r="AF46" i="7" s="1"/>
  <c r="AF39" i="7"/>
  <c r="AF48" i="7" s="1"/>
  <c r="AF373" i="7"/>
  <c r="AF41" i="7" s="1"/>
  <c r="AF50" i="7" s="1"/>
  <c r="AF309" i="7"/>
  <c r="AF330" i="7"/>
  <c r="AF37" i="7" s="1"/>
  <c r="AF331" i="7"/>
  <c r="AF337" i="7" s="1"/>
  <c r="AF351" i="7"/>
  <c r="AF38" i="7" s="1"/>
  <c r="AF352" i="7"/>
  <c r="AG24" i="7"/>
  <c r="AG46" i="7" s="1"/>
  <c r="AG39" i="7"/>
  <c r="AG48" i="7" s="1"/>
  <c r="AG343" i="7"/>
  <c r="AG40" i="7" s="1"/>
  <c r="AG49" i="7" s="1"/>
  <c r="AG373" i="7"/>
  <c r="AG41" i="7" s="1"/>
  <c r="AG50" i="7" s="1"/>
  <c r="AG309" i="7"/>
  <c r="AG310" i="7"/>
  <c r="AG316" i="7" s="1"/>
  <c r="AG330" i="7"/>
  <c r="AG37" i="7" s="1"/>
  <c r="AG331" i="7"/>
  <c r="AG337" i="7" s="1"/>
  <c r="AG351" i="7"/>
  <c r="AG38" i="7" s="1"/>
  <c r="AG352" i="7"/>
  <c r="AG358" i="7" s="1"/>
  <c r="AG770" i="7"/>
  <c r="AH24" i="7"/>
  <c r="AH46" i="7" s="1"/>
  <c r="AH39" i="7"/>
  <c r="AH48" i="7"/>
  <c r="AH373" i="7"/>
  <c r="AH41" i="7" s="1"/>
  <c r="AH50" i="7" s="1"/>
  <c r="AH310" i="7"/>
  <c r="AH316" i="7" s="1"/>
  <c r="AH330" i="7"/>
  <c r="AH37" i="7" s="1"/>
  <c r="AH331" i="7"/>
  <c r="AH337" i="7" s="1"/>
  <c r="AH351" i="7"/>
  <c r="AH38" i="7" s="1"/>
  <c r="AH352" i="7"/>
  <c r="AH358" i="7" s="1"/>
  <c r="AH770" i="7"/>
  <c r="AI24" i="7"/>
  <c r="AI46" i="7" s="1"/>
  <c r="AI39" i="7"/>
  <c r="AI48" i="7" s="1"/>
  <c r="AI373" i="7"/>
  <c r="AI309" i="7"/>
  <c r="AI36" i="7" s="1"/>
  <c r="AI330" i="7"/>
  <c r="AI331" i="7"/>
  <c r="AI337" i="7" s="1"/>
  <c r="AI351" i="7"/>
  <c r="AI38" i="7" s="1"/>
  <c r="AI352" i="7"/>
  <c r="AI358" i="7" s="1"/>
  <c r="AI770" i="7"/>
  <c r="AJ24" i="7"/>
  <c r="AJ46" i="7" s="1"/>
  <c r="AJ39" i="7"/>
  <c r="AJ48" i="7" s="1"/>
  <c r="AJ373" i="7"/>
  <c r="AJ41" i="7" s="1"/>
  <c r="AJ50" i="7" s="1"/>
  <c r="AJ309" i="7"/>
  <c r="AJ330" i="7"/>
  <c r="AJ37" i="7" s="1"/>
  <c r="AJ331" i="7"/>
  <c r="AJ337" i="7" s="1"/>
  <c r="AJ351" i="7"/>
  <c r="AJ352" i="7"/>
  <c r="AJ36" i="7"/>
  <c r="AJ38" i="7"/>
  <c r="AK24" i="7"/>
  <c r="AK46" i="7" s="1"/>
  <c r="AK39" i="7"/>
  <c r="AK48" i="7" s="1"/>
  <c r="AK343" i="7"/>
  <c r="AK40" i="7" s="1"/>
  <c r="AK49" i="7" s="1"/>
  <c r="AK373" i="7"/>
  <c r="AK41" i="7" s="1"/>
  <c r="AK50" i="7" s="1"/>
  <c r="AK309" i="7"/>
  <c r="AK36" i="7" s="1"/>
  <c r="AK330" i="7"/>
  <c r="AK37" i="7" s="1"/>
  <c r="AK331" i="7"/>
  <c r="AK337" i="7" s="1"/>
  <c r="AK351" i="7"/>
  <c r="AK352" i="7"/>
  <c r="AK770" i="7"/>
  <c r="AL24" i="7"/>
  <c r="AL46" i="7" s="1"/>
  <c r="AL39" i="7"/>
  <c r="AL48" i="7"/>
  <c r="AL343" i="7"/>
  <c r="AL40" i="7" s="1"/>
  <c r="AL49" i="7" s="1"/>
  <c r="AL373" i="7"/>
  <c r="AL41" i="7" s="1"/>
  <c r="AL50" i="7" s="1"/>
  <c r="AL309" i="7"/>
  <c r="AL36" i="7" s="1"/>
  <c r="AL310" i="7"/>
  <c r="AL330" i="7"/>
  <c r="AL37" i="7" s="1"/>
  <c r="AL331" i="7"/>
  <c r="AL337" i="7" s="1"/>
  <c r="AL351" i="7"/>
  <c r="AL352" i="7"/>
  <c r="AL358" i="7" s="1"/>
  <c r="AL770" i="7"/>
  <c r="AM24" i="7"/>
  <c r="AM46" i="7" s="1"/>
  <c r="AM39" i="7"/>
  <c r="AM48" i="7" s="1"/>
  <c r="AM373" i="7"/>
  <c r="AM310" i="7"/>
  <c r="AM330" i="7"/>
  <c r="AM331" i="7"/>
  <c r="AM351" i="7"/>
  <c r="AM38" i="7" s="1"/>
  <c r="AM352" i="7"/>
  <c r="AM358" i="7" s="1"/>
  <c r="AN24" i="7"/>
  <c r="AN46" i="7" s="1"/>
  <c r="AN39" i="7"/>
  <c r="AN48" i="7"/>
  <c r="AN343" i="7"/>
  <c r="AN40" i="7" s="1"/>
  <c r="AN49" i="7" s="1"/>
  <c r="AN373" i="7"/>
  <c r="AN310" i="7"/>
  <c r="AN330" i="7"/>
  <c r="AN37" i="7" s="1"/>
  <c r="AN331" i="7"/>
  <c r="AN337" i="7" s="1"/>
  <c r="AN351" i="7"/>
  <c r="AN352" i="7"/>
  <c r="AN358" i="7" s="1"/>
  <c r="AN770" i="7"/>
  <c r="AN775" i="7"/>
  <c r="AO24" i="7"/>
  <c r="AO46" i="7" s="1"/>
  <c r="AO39" i="7"/>
  <c r="AO48" i="7" s="1"/>
  <c r="AO343" i="7"/>
  <c r="AO40" i="7" s="1"/>
  <c r="AO49" i="7" s="1"/>
  <c r="AO373" i="7"/>
  <c r="AO374" i="7" s="1"/>
  <c r="AO309" i="7"/>
  <c r="AO36" i="7" s="1"/>
  <c r="AO330" i="7"/>
  <c r="AO37" i="7" s="1"/>
  <c r="AO331" i="7"/>
  <c r="AO351" i="7"/>
  <c r="AO352" i="7"/>
  <c r="AO770" i="7"/>
  <c r="AP24" i="7"/>
  <c r="AP46" i="7" s="1"/>
  <c r="AP39" i="7"/>
  <c r="AP48" i="7" s="1"/>
  <c r="AP373" i="7"/>
  <c r="AP374" i="7" s="1"/>
  <c r="AP41" i="7"/>
  <c r="AP309" i="7"/>
  <c r="AP330" i="7"/>
  <c r="AP331" i="7"/>
  <c r="AP337" i="7" s="1"/>
  <c r="AP351" i="7"/>
  <c r="AP352" i="7"/>
  <c r="AP358" i="7" s="1"/>
  <c r="AP770" i="7"/>
  <c r="AQ24" i="7"/>
  <c r="AQ46" i="7" s="1"/>
  <c r="AQ39" i="7"/>
  <c r="AQ48" i="7" s="1"/>
  <c r="AQ373" i="7"/>
  <c r="AQ309" i="7"/>
  <c r="AQ330" i="7"/>
  <c r="AQ331" i="7"/>
  <c r="AQ351" i="7"/>
  <c r="AQ352" i="7"/>
  <c r="AQ358" i="7" s="1"/>
  <c r="AQ36" i="7"/>
  <c r="AR24" i="7"/>
  <c r="AR46" i="7" s="1"/>
  <c r="AR39" i="7"/>
  <c r="AR48" i="7"/>
  <c r="AR373" i="7"/>
  <c r="AR41" i="7" s="1"/>
  <c r="AR310" i="7"/>
  <c r="AR330" i="7"/>
  <c r="AR37" i="7" s="1"/>
  <c r="AR331" i="7"/>
  <c r="AR337" i="7" s="1"/>
  <c r="AR351" i="7"/>
  <c r="AR352" i="7"/>
  <c r="AR358" i="7" s="1"/>
  <c r="AR770" i="7"/>
  <c r="AR774" i="7" s="1"/>
  <c r="AS24" i="7"/>
  <c r="AS46" i="7" s="1"/>
  <c r="AS39" i="7"/>
  <c r="AS48" i="7" s="1"/>
  <c r="AS373" i="7"/>
  <c r="AS374" i="7" s="1"/>
  <c r="AS41" i="7"/>
  <c r="AS309" i="7"/>
  <c r="AS330" i="7"/>
  <c r="AS37" i="7" s="1"/>
  <c r="AS331" i="7"/>
  <c r="AS332" i="7" s="1"/>
  <c r="AS351" i="7"/>
  <c r="AS352" i="7"/>
  <c r="AS358" i="7" s="1"/>
  <c r="AT24" i="7"/>
  <c r="AT46" i="7" s="1"/>
  <c r="AT39" i="7"/>
  <c r="AT48" i="7" s="1"/>
  <c r="AT343" i="7"/>
  <c r="AT40" i="7" s="1"/>
  <c r="AT49" i="7" s="1"/>
  <c r="AT373" i="7"/>
  <c r="AT309" i="7"/>
  <c r="AT330" i="7"/>
  <c r="AT331" i="7"/>
  <c r="AT337" i="7" s="1"/>
  <c r="AT351" i="7"/>
  <c r="AT352" i="7"/>
  <c r="AT358" i="7" s="1"/>
  <c r="AT770" i="7"/>
  <c r="AU24" i="7"/>
  <c r="AU46" i="7" s="1"/>
  <c r="AU39" i="7"/>
  <c r="AU48" i="7"/>
  <c r="AU373" i="7"/>
  <c r="AU309" i="7"/>
  <c r="AU310" i="7"/>
  <c r="AU316" i="7" s="1"/>
  <c r="AU330" i="7"/>
  <c r="AU37" i="7" s="1"/>
  <c r="AU331" i="7"/>
  <c r="AU351" i="7"/>
  <c r="AU352" i="7"/>
  <c r="AU358" i="7" s="1"/>
  <c r="AU775" i="7"/>
  <c r="AU36" i="7"/>
  <c r="AV24" i="7"/>
  <c r="AV46" i="7" s="1"/>
  <c r="AV39" i="7"/>
  <c r="AV48" i="7"/>
  <c r="AV343" i="7"/>
  <c r="AV40" i="7" s="1"/>
  <c r="AV49" i="7" s="1"/>
  <c r="AV373" i="7"/>
  <c r="AV310" i="7"/>
  <c r="AV330" i="7"/>
  <c r="AV37" i="7" s="1"/>
  <c r="AV331" i="7"/>
  <c r="AV351" i="7"/>
  <c r="AV352" i="7"/>
  <c r="AV358" i="7" s="1"/>
  <c r="AV770" i="7"/>
  <c r="AW24" i="7"/>
  <c r="AW46" i="7" s="1"/>
  <c r="AW39" i="7"/>
  <c r="AW48" i="7" s="1"/>
  <c r="AW343" i="7"/>
  <c r="AW40" i="7" s="1"/>
  <c r="AW49" i="7" s="1"/>
  <c r="AW373" i="7"/>
  <c r="AW309" i="7"/>
  <c r="AW36" i="7" s="1"/>
  <c r="AW330" i="7"/>
  <c r="AW331" i="7"/>
  <c r="AW351" i="7"/>
  <c r="AW352" i="7"/>
  <c r="AW358" i="7" s="1"/>
  <c r="AW770" i="7"/>
  <c r="AX24" i="7"/>
  <c r="AX46" i="7" s="1"/>
  <c r="AX39" i="7"/>
  <c r="AX48" i="7" s="1"/>
  <c r="AX373" i="7"/>
  <c r="AX309" i="7"/>
  <c r="AX310" i="7"/>
  <c r="AX316" i="7" s="1"/>
  <c r="AX330" i="7"/>
  <c r="AX331" i="7"/>
  <c r="AX351" i="7"/>
  <c r="AX352" i="7"/>
  <c r="AX358" i="7" s="1"/>
  <c r="AY24" i="7"/>
  <c r="AY46" i="7" s="1"/>
  <c r="AY39" i="7"/>
  <c r="AY48" i="7" s="1"/>
  <c r="AY373" i="7"/>
  <c r="AY374" i="7" s="1"/>
  <c r="AY309" i="7"/>
  <c r="AY36" i="7" s="1"/>
  <c r="AY310" i="7"/>
  <c r="AY316" i="7" s="1"/>
  <c r="AY330" i="7"/>
  <c r="AY37" i="7" s="1"/>
  <c r="AY331" i="7"/>
  <c r="AY351" i="7"/>
  <c r="AY352" i="7"/>
  <c r="AY358" i="7" s="1"/>
  <c r="AZ24" i="7"/>
  <c r="AZ46" i="7" s="1"/>
  <c r="AZ39" i="7"/>
  <c r="AZ48" i="7" s="1"/>
  <c r="AZ343" i="7"/>
  <c r="AZ40" i="7" s="1"/>
  <c r="AZ49" i="7" s="1"/>
  <c r="AZ373" i="7"/>
  <c r="AZ374" i="7" s="1"/>
  <c r="AZ310" i="7"/>
  <c r="AZ316" i="7" s="1"/>
  <c r="AZ330" i="7"/>
  <c r="AZ331" i="7"/>
  <c r="AZ351" i="7"/>
  <c r="AZ352" i="7"/>
  <c r="AZ358" i="7" s="1"/>
  <c r="AZ770" i="7"/>
  <c r="BA24" i="7"/>
  <c r="BA46" i="7" s="1"/>
  <c r="BA39" i="7"/>
  <c r="BA48" i="7" s="1"/>
  <c r="BA343" i="7"/>
  <c r="BA40" i="7" s="1"/>
  <c r="BA49" i="7" s="1"/>
  <c r="BA373" i="7"/>
  <c r="BA374" i="7" s="1"/>
  <c r="BA41" i="7"/>
  <c r="BA310" i="7"/>
  <c r="BA316" i="7" s="1"/>
  <c r="BA330" i="7"/>
  <c r="BA331" i="7"/>
  <c r="BA337" i="7" s="1"/>
  <c r="BA351" i="7"/>
  <c r="BA352" i="7"/>
  <c r="BA358" i="7" s="1"/>
  <c r="BA770" i="7"/>
  <c r="BA775" i="7"/>
  <c r="BB24" i="7"/>
  <c r="BB46" i="7" s="1"/>
  <c r="BB39" i="7"/>
  <c r="BB48" i="7"/>
  <c r="BB343" i="7"/>
  <c r="BB40" i="7" s="1"/>
  <c r="BB49" i="7" s="1"/>
  <c r="BB373" i="7"/>
  <c r="BB310" i="7"/>
  <c r="BB330" i="7"/>
  <c r="BB37" i="7" s="1"/>
  <c r="BB331" i="7"/>
  <c r="BB337" i="7" s="1"/>
  <c r="BB351" i="7"/>
  <c r="BB352" i="7"/>
  <c r="BB358" i="7" s="1"/>
  <c r="BB770" i="7"/>
  <c r="BB774" i="7" s="1"/>
  <c r="BB775" i="7"/>
  <c r="BC24" i="7"/>
  <c r="BC46" i="7" s="1"/>
  <c r="BC39" i="7"/>
  <c r="BC48" i="7"/>
  <c r="BC373" i="7"/>
  <c r="BC374" i="7" s="1"/>
  <c r="BC309" i="7"/>
  <c r="BC310" i="7"/>
  <c r="BC316" i="7" s="1"/>
  <c r="BC330" i="7"/>
  <c r="BC331" i="7"/>
  <c r="BC337" i="7" s="1"/>
  <c r="BC351" i="7"/>
  <c r="BC352" i="7"/>
  <c r="BC358" i="7" s="1"/>
  <c r="BC37" i="7"/>
  <c r="BD24" i="7"/>
  <c r="BD46" i="7" s="1"/>
  <c r="BD39" i="7"/>
  <c r="BD48" i="7" s="1"/>
  <c r="BD373" i="7"/>
  <c r="BD41" i="7" s="1"/>
  <c r="BD309" i="7"/>
  <c r="BD310" i="7"/>
  <c r="BD316" i="7" s="1"/>
  <c r="BD330" i="7"/>
  <c r="BD331" i="7"/>
  <c r="BD337" i="7" s="1"/>
  <c r="BD351" i="7"/>
  <c r="BD352" i="7"/>
  <c r="BD358" i="7" s="1"/>
  <c r="BD775" i="7"/>
  <c r="BE24" i="7"/>
  <c r="BE46" i="7" s="1"/>
  <c r="BE39" i="7"/>
  <c r="BE48" i="7" s="1"/>
  <c r="BE373" i="7"/>
  <c r="BE41" i="7" s="1"/>
  <c r="BE309" i="7"/>
  <c r="BE36" i="7" s="1"/>
  <c r="BE310" i="7"/>
  <c r="BE330" i="7"/>
  <c r="BE331" i="7"/>
  <c r="BE351" i="7"/>
  <c r="BE352" i="7"/>
  <c r="BE358" i="7" s="1"/>
  <c r="G53" i="7"/>
  <c r="L27" i="1"/>
  <c r="G245" i="4"/>
  <c r="H18" i="4"/>
  <c r="G245" i="17"/>
  <c r="F363" i="17"/>
  <c r="F364" i="17"/>
  <c r="H18" i="17"/>
  <c r="H206" i="7"/>
  <c r="H215" i="7"/>
  <c r="H214" i="7" s="1"/>
  <c r="H220" i="7" s="1"/>
  <c r="H235" i="7" s="1"/>
  <c r="G368" i="7"/>
  <c r="L120" i="1"/>
  <c r="J74" i="16" s="1"/>
  <c r="L115" i="1"/>
  <c r="L109" i="1"/>
  <c r="J64" i="16" s="1"/>
  <c r="L108" i="1"/>
  <c r="J63" i="16" s="1"/>
  <c r="L107" i="1"/>
  <c r="J62" i="16" s="1"/>
  <c r="L106" i="1"/>
  <c r="J61" i="16" s="1"/>
  <c r="L105" i="1"/>
  <c r="J60" i="16" s="1"/>
  <c r="L104" i="1"/>
  <c r="J59" i="16" s="1"/>
  <c r="L70" i="16"/>
  <c r="J69" i="16"/>
  <c r="J70" i="16"/>
  <c r="L119" i="1"/>
  <c r="J73" i="16" s="1"/>
  <c r="F72" i="16"/>
  <c r="F71" i="16"/>
  <c r="D115" i="1"/>
  <c r="E69" i="16" s="1"/>
  <c r="D116" i="1"/>
  <c r="E70" i="16" s="1"/>
  <c r="D119" i="1"/>
  <c r="E73" i="16" s="1"/>
  <c r="D120" i="1"/>
  <c r="E74" i="16"/>
  <c r="D114" i="1"/>
  <c r="E68" i="16" s="1"/>
  <c r="D109" i="1"/>
  <c r="E64" i="16" s="1"/>
  <c r="D104" i="1"/>
  <c r="E59" i="16" s="1"/>
  <c r="D105" i="1"/>
  <c r="E60" i="16" s="1"/>
  <c r="D106" i="1"/>
  <c r="E61" i="16" s="1"/>
  <c r="D107" i="1"/>
  <c r="E62" i="16" s="1"/>
  <c r="D108" i="1"/>
  <c r="E63" i="16" s="1"/>
  <c r="D103" i="1"/>
  <c r="E58" i="16"/>
  <c r="J40" i="16"/>
  <c r="N54" i="1"/>
  <c r="L36" i="16" s="1"/>
  <c r="V44" i="8"/>
  <c r="G297" i="4" s="1"/>
  <c r="N56" i="1"/>
  <c r="L38" i="16" s="1"/>
  <c r="S44" i="8"/>
  <c r="L55" i="1"/>
  <c r="J37" i="16"/>
  <c r="S43" i="8"/>
  <c r="L54" i="1" s="1"/>
  <c r="J36" i="16" s="1"/>
  <c r="J32" i="16"/>
  <c r="L28" i="16"/>
  <c r="L42" i="1"/>
  <c r="J28" i="16" s="1"/>
  <c r="J16" i="16"/>
  <c r="J10" i="16"/>
  <c r="C40" i="18"/>
  <c r="C400" i="18" s="1"/>
  <c r="C39" i="18"/>
  <c r="C482" i="18" s="1"/>
  <c r="C38" i="18"/>
  <c r="C37" i="18"/>
  <c r="C564" i="18" s="1"/>
  <c r="C36" i="18"/>
  <c r="C627" i="18"/>
  <c r="C35" i="18"/>
  <c r="C478" i="18" s="1"/>
  <c r="C34" i="18"/>
  <c r="C561" i="18" s="1"/>
  <c r="C625" i="18"/>
  <c r="C33" i="18"/>
  <c r="C560" i="18" s="1"/>
  <c r="C32" i="18"/>
  <c r="C623" i="18" s="1"/>
  <c r="C480" i="18"/>
  <c r="X129" i="8"/>
  <c r="X83" i="8" s="1"/>
  <c r="R33" i="18"/>
  <c r="X131" i="8"/>
  <c r="X85" i="8" s="1"/>
  <c r="X132" i="8"/>
  <c r="X133" i="8"/>
  <c r="X134" i="8"/>
  <c r="X88" i="8" s="1"/>
  <c r="R37" i="18" s="1"/>
  <c r="R38" i="18"/>
  <c r="W129" i="8"/>
  <c r="W83" i="8" s="1"/>
  <c r="Q32" i="18" s="1"/>
  <c r="W130" i="8"/>
  <c r="W84" i="8"/>
  <c r="Q33" i="18" s="1"/>
  <c r="W131" i="8"/>
  <c r="W85" i="8"/>
  <c r="W132" i="8"/>
  <c r="W86" i="8" s="1"/>
  <c r="Q35" i="18" s="1"/>
  <c r="W133" i="8"/>
  <c r="W87" i="8" s="1"/>
  <c r="Q36" i="18" s="1"/>
  <c r="W134" i="8"/>
  <c r="W89" i="8"/>
  <c r="Q38" i="18" s="1"/>
  <c r="P35" i="18"/>
  <c r="P40" i="18"/>
  <c r="T74" i="8"/>
  <c r="T76" i="8" s="1"/>
  <c r="S74" i="8"/>
  <c r="R74" i="8"/>
  <c r="R76" i="8"/>
  <c r="L26" i="18" s="1"/>
  <c r="S40" i="18"/>
  <c r="R40" i="18"/>
  <c r="Q40" i="18"/>
  <c r="O40" i="18"/>
  <c r="N40" i="18"/>
  <c r="M40" i="18"/>
  <c r="L40" i="18"/>
  <c r="R39" i="18"/>
  <c r="P39" i="18"/>
  <c r="O39" i="18"/>
  <c r="N39" i="18"/>
  <c r="M39" i="18"/>
  <c r="L39" i="18"/>
  <c r="O38" i="18"/>
  <c r="N38" i="18"/>
  <c r="M38" i="18"/>
  <c r="L38" i="18"/>
  <c r="P37" i="18"/>
  <c r="O37" i="18"/>
  <c r="N37" i="18"/>
  <c r="M37" i="18"/>
  <c r="L37" i="18"/>
  <c r="O36" i="18"/>
  <c r="N36" i="18"/>
  <c r="M36" i="18"/>
  <c r="L36" i="18"/>
  <c r="O35" i="18"/>
  <c r="N35" i="18"/>
  <c r="M35" i="18"/>
  <c r="L35" i="18"/>
  <c r="O34" i="18"/>
  <c r="N34" i="18"/>
  <c r="M34" i="18"/>
  <c r="L34" i="18"/>
  <c r="S33" i="18"/>
  <c r="O33" i="18"/>
  <c r="N33" i="18"/>
  <c r="M33" i="18"/>
  <c r="L33" i="18"/>
  <c r="O32" i="18"/>
  <c r="N32" i="18"/>
  <c r="M32" i="18"/>
  <c r="L32" i="18"/>
  <c r="Y75" i="8"/>
  <c r="X74" i="8"/>
  <c r="R24" i="18" s="1"/>
  <c r="V75" i="8"/>
  <c r="P25" i="18" s="1"/>
  <c r="S25" i="18"/>
  <c r="X75" i="8"/>
  <c r="R25" i="18" s="1"/>
  <c r="W75" i="8"/>
  <c r="Q25" i="18"/>
  <c r="O25" i="18"/>
  <c r="N25" i="18"/>
  <c r="M25" i="18"/>
  <c r="L25" i="18"/>
  <c r="M24" i="18"/>
  <c r="L24" i="18"/>
  <c r="D18" i="9"/>
  <c r="D19" i="9"/>
  <c r="D20" i="9" s="1"/>
  <c r="D21" i="9" s="1"/>
  <c r="D22" i="9"/>
  <c r="D23" i="9" s="1"/>
  <c r="D24" i="9" s="1"/>
  <c r="D25" i="9" s="1"/>
  <c r="D26" i="9" s="1"/>
  <c r="D27" i="9" s="1"/>
  <c r="D28" i="9" s="1"/>
  <c r="D29" i="9" s="1"/>
  <c r="D30" i="9" s="1"/>
  <c r="D31" i="9"/>
  <c r="D32" i="9" s="1"/>
  <c r="D33" i="9" s="1"/>
  <c r="D34" i="9" s="1"/>
  <c r="D35" i="9" s="1"/>
  <c r="D36" i="9" s="1"/>
  <c r="D37" i="9" s="1"/>
  <c r="D38" i="9"/>
  <c r="D39" i="9" s="1"/>
  <c r="D40" i="9" s="1"/>
  <c r="D41" i="9" s="1"/>
  <c r="D42" i="9" s="1"/>
  <c r="D43" i="9" s="1"/>
  <c r="D44" i="9" s="1"/>
  <c r="D45" i="9" s="1"/>
  <c r="D46" i="9" s="1"/>
  <c r="D47" i="9"/>
  <c r="D48" i="9" s="1"/>
  <c r="D49" i="9" s="1"/>
  <c r="D50" i="9" s="1"/>
  <c r="D51" i="9" s="1"/>
  <c r="D52" i="9" s="1"/>
  <c r="D53" i="9" s="1"/>
  <c r="D54" i="9" s="1"/>
  <c r="D55" i="9" s="1"/>
  <c r="D56" i="9" s="1"/>
  <c r="C346" i="17"/>
  <c r="C345" i="17"/>
  <c r="F342" i="17"/>
  <c r="C342" i="17"/>
  <c r="F341" i="17"/>
  <c r="C341" i="17"/>
  <c r="C340" i="17"/>
  <c r="C316" i="17"/>
  <c r="C315" i="17"/>
  <c r="C314" i="17"/>
  <c r="G299" i="17"/>
  <c r="C270" i="17"/>
  <c r="C269" i="17"/>
  <c r="F266" i="17"/>
  <c r="C266" i="17"/>
  <c r="F265" i="17"/>
  <c r="C265" i="17"/>
  <c r="C264" i="17"/>
  <c r="C240" i="17"/>
  <c r="C239" i="17"/>
  <c r="C217" i="17"/>
  <c r="B167" i="17"/>
  <c r="B166" i="17"/>
  <c r="U165" i="17"/>
  <c r="S165" i="17"/>
  <c r="Q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B77" i="17"/>
  <c r="B76" i="17"/>
  <c r="Z75" i="17"/>
  <c r="T75" i="17"/>
  <c r="P75" i="17"/>
  <c r="N75" i="17"/>
  <c r="L75" i="17"/>
  <c r="J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W75" i="17"/>
  <c r="U75" i="17"/>
  <c r="Q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S64" i="17"/>
  <c r="S75" i="17"/>
  <c r="L165" i="17"/>
  <c r="P165" i="17"/>
  <c r="O64" i="17"/>
  <c r="O75" i="17"/>
  <c r="S154" i="17"/>
  <c r="W154" i="17"/>
  <c r="K64" i="17"/>
  <c r="AA64" i="17"/>
  <c r="K75" i="17"/>
  <c r="AA75" i="17"/>
  <c r="H154" i="17"/>
  <c r="L154" i="17"/>
  <c r="X154" i="17"/>
  <c r="K154" i="17"/>
  <c r="AA154" i="17"/>
  <c r="X271" i="17"/>
  <c r="W64" i="17"/>
  <c r="K165" i="17"/>
  <c r="T154" i="17"/>
  <c r="Y170" i="8"/>
  <c r="U170" i="8"/>
  <c r="Y169" i="8"/>
  <c r="U169" i="8"/>
  <c r="Y168" i="8"/>
  <c r="U168" i="8"/>
  <c r="T148" i="8"/>
  <c r="S148" i="8"/>
  <c r="M146" i="8"/>
  <c r="M170" i="8" s="1"/>
  <c r="M142" i="8"/>
  <c r="M169" i="8" s="1"/>
  <c r="M141" i="8"/>
  <c r="M168" i="8"/>
  <c r="D121" i="8"/>
  <c r="D115" i="8"/>
  <c r="D142" i="8"/>
  <c r="D114" i="8"/>
  <c r="D168" i="8" s="1"/>
  <c r="D169" i="8"/>
  <c r="M130" i="8"/>
  <c r="G176" i="17"/>
  <c r="G177" i="17" s="1"/>
  <c r="G187" i="17" s="1"/>
  <c r="G175" i="17"/>
  <c r="V30" i="8"/>
  <c r="S30" i="8"/>
  <c r="U15" i="6"/>
  <c r="T15" i="6"/>
  <c r="S48" i="8"/>
  <c r="S111" i="6"/>
  <c r="R111" i="6"/>
  <c r="Q111" i="6"/>
  <c r="P111" i="6"/>
  <c r="O111" i="6"/>
  <c r="N111" i="6"/>
  <c r="G733" i="7"/>
  <c r="G732" i="7"/>
  <c r="AG737" i="7" s="1"/>
  <c r="AG743" i="7" s="1"/>
  <c r="G711" i="7"/>
  <c r="G710" i="7"/>
  <c r="G709" i="7"/>
  <c r="G691" i="7"/>
  <c r="G690" i="7"/>
  <c r="G656" i="7"/>
  <c r="G655" i="7"/>
  <c r="G634" i="7"/>
  <c r="G633" i="7"/>
  <c r="G632" i="7"/>
  <c r="G614" i="7"/>
  <c r="G613" i="7"/>
  <c r="G578" i="7"/>
  <c r="G577" i="7"/>
  <c r="G556" i="7"/>
  <c r="G555" i="7"/>
  <c r="G554" i="7"/>
  <c r="G536" i="7"/>
  <c r="G535" i="7"/>
  <c r="G502" i="7"/>
  <c r="G501" i="7"/>
  <c r="G480" i="7"/>
  <c r="G479" i="7"/>
  <c r="G478" i="7"/>
  <c r="G459" i="7"/>
  <c r="G424" i="7"/>
  <c r="G423" i="7"/>
  <c r="G402" i="7"/>
  <c r="G401" i="7"/>
  <c r="G400" i="7"/>
  <c r="BD407" i="7" s="1"/>
  <c r="BD413" i="7" s="1"/>
  <c r="G382" i="7"/>
  <c r="G381" i="7"/>
  <c r="BB385" i="7" s="1"/>
  <c r="G325" i="7"/>
  <c r="G306" i="7"/>
  <c r="G460" i="7"/>
  <c r="R40" i="6"/>
  <c r="R39" i="6"/>
  <c r="P40" i="6"/>
  <c r="P39" i="6"/>
  <c r="N44" i="6"/>
  <c r="V233" i="8"/>
  <c r="S233" i="8"/>
  <c r="M188" i="8"/>
  <c r="D145" i="8"/>
  <c r="D144" i="8"/>
  <c r="D143" i="8"/>
  <c r="D135" i="8"/>
  <c r="D134" i="8"/>
  <c r="D133" i="8"/>
  <c r="D132" i="8"/>
  <c r="D131" i="8"/>
  <c r="D130" i="8"/>
  <c r="D129" i="8"/>
  <c r="D120" i="8"/>
  <c r="D188" i="8" s="1"/>
  <c r="Y140" i="8"/>
  <c r="X140" i="8"/>
  <c r="W140" i="8"/>
  <c r="V140" i="8"/>
  <c r="Y82" i="8"/>
  <c r="X82" i="8"/>
  <c r="W82" i="8"/>
  <c r="V82" i="8"/>
  <c r="Y128" i="8"/>
  <c r="X128" i="8"/>
  <c r="W128" i="8"/>
  <c r="V128" i="8"/>
  <c r="Y135" i="8"/>
  <c r="Y130" i="8"/>
  <c r="X135" i="8"/>
  <c r="X130" i="8"/>
  <c r="W135" i="8"/>
  <c r="C239" i="4"/>
  <c r="S49" i="8"/>
  <c r="Z7" i="8"/>
  <c r="M180" i="8"/>
  <c r="M176" i="8"/>
  <c r="M161" i="8"/>
  <c r="M160" i="8"/>
  <c r="M159" i="8"/>
  <c r="M158" i="8"/>
  <c r="M157" i="8"/>
  <c r="M156" i="8"/>
  <c r="M155" i="8"/>
  <c r="M145" i="8"/>
  <c r="M144" i="8"/>
  <c r="M143" i="8"/>
  <c r="M135" i="8"/>
  <c r="M134" i="8"/>
  <c r="M133" i="8"/>
  <c r="M132" i="8"/>
  <c r="M131" i="8"/>
  <c r="M129" i="8"/>
  <c r="D108" i="8"/>
  <c r="D161" i="8" s="1"/>
  <c r="D118" i="8"/>
  <c r="D180" i="8"/>
  <c r="D67" i="6"/>
  <c r="S40" i="6"/>
  <c r="S39" i="6"/>
  <c r="Q40" i="6"/>
  <c r="Q39" i="6"/>
  <c r="O40" i="6"/>
  <c r="O39" i="6"/>
  <c r="N40" i="6"/>
  <c r="N39" i="6"/>
  <c r="O33" i="6"/>
  <c r="O32" i="6"/>
  <c r="O34" i="6"/>
  <c r="P32" i="6"/>
  <c r="Q32" i="6"/>
  <c r="R32" i="6"/>
  <c r="S32" i="6"/>
  <c r="P33" i="6"/>
  <c r="Q33" i="6"/>
  <c r="R33" i="6"/>
  <c r="S33" i="6"/>
  <c r="P34" i="6"/>
  <c r="G500" i="7" s="1"/>
  <c r="R34" i="6"/>
  <c r="Q34" i="6"/>
  <c r="G576" i="7" s="1"/>
  <c r="V7" i="6"/>
  <c r="Y154" i="4"/>
  <c r="L154" i="4"/>
  <c r="I154" i="4"/>
  <c r="S64" i="4"/>
  <c r="D116" i="8"/>
  <c r="D107" i="8"/>
  <c r="D160" i="8" s="1"/>
  <c r="D106" i="8"/>
  <c r="D159" i="8"/>
  <c r="D105" i="8"/>
  <c r="D158" i="8" s="1"/>
  <c r="D104" i="8"/>
  <c r="D103" i="8"/>
  <c r="D156" i="8"/>
  <c r="D102" i="8"/>
  <c r="D155" i="8"/>
  <c r="D157" i="8"/>
  <c r="Y158" i="8"/>
  <c r="R162" i="8"/>
  <c r="U158" i="8"/>
  <c r="L14" i="1"/>
  <c r="M14" i="1"/>
  <c r="N14" i="1"/>
  <c r="O14" i="1"/>
  <c r="P14" i="1"/>
  <c r="Q14" i="1"/>
  <c r="C794" i="7"/>
  <c r="C780" i="7"/>
  <c r="C766" i="7"/>
  <c r="B686" i="7"/>
  <c r="B609" i="7"/>
  <c r="B531" i="7"/>
  <c r="B455" i="7"/>
  <c r="B377" i="7"/>
  <c r="B301" i="7"/>
  <c r="P17" i="9"/>
  <c r="M17" i="9"/>
  <c r="O17" i="9"/>
  <c r="H217" i="7" s="1"/>
  <c r="N17" i="9"/>
  <c r="L17" i="9"/>
  <c r="K17" i="9"/>
  <c r="P18" i="9"/>
  <c r="I263" i="7" s="1"/>
  <c r="L18" i="9"/>
  <c r="N18" i="9"/>
  <c r="M18" i="9"/>
  <c r="K18" i="9"/>
  <c r="I29" i="7" s="1"/>
  <c r="O18" i="9"/>
  <c r="Y161" i="8"/>
  <c r="Y160" i="8"/>
  <c r="Y159" i="8"/>
  <c r="Y157" i="8"/>
  <c r="Y156" i="8"/>
  <c r="Y155" i="8"/>
  <c r="C346" i="4"/>
  <c r="C345" i="4"/>
  <c r="C342" i="4"/>
  <c r="C341" i="4"/>
  <c r="C340" i="4"/>
  <c r="C314" i="4"/>
  <c r="C315" i="4"/>
  <c r="C316" i="4"/>
  <c r="G176" i="4"/>
  <c r="G175" i="4"/>
  <c r="V185" i="8"/>
  <c r="AA108" i="4"/>
  <c r="Z108" i="4"/>
  <c r="Y108" i="4"/>
  <c r="X108" i="4"/>
  <c r="W108" i="4"/>
  <c r="V108" i="4"/>
  <c r="U108" i="4"/>
  <c r="T108" i="4"/>
  <c r="S108" i="4"/>
  <c r="R108" i="4"/>
  <c r="Q108" i="4"/>
  <c r="P108" i="4"/>
  <c r="O108" i="4"/>
  <c r="N108" i="4"/>
  <c r="M108" i="4"/>
  <c r="L108" i="4"/>
  <c r="K108" i="4"/>
  <c r="J108" i="4"/>
  <c r="I108" i="4"/>
  <c r="BE273" i="7"/>
  <c r="BE282" i="7" s="1"/>
  <c r="BD273" i="7"/>
  <c r="BD282" i="7"/>
  <c r="BC273" i="7"/>
  <c r="BC282" i="7" s="1"/>
  <c r="BB273" i="7"/>
  <c r="BB282" i="7" s="1"/>
  <c r="BA273" i="7"/>
  <c r="BA282" i="7" s="1"/>
  <c r="AZ273" i="7"/>
  <c r="AZ282" i="7"/>
  <c r="AY273" i="7"/>
  <c r="AY282" i="7" s="1"/>
  <c r="AX273" i="7"/>
  <c r="AX282" i="7"/>
  <c r="AW273" i="7"/>
  <c r="AW282" i="7" s="1"/>
  <c r="AV273" i="7"/>
  <c r="AV282" i="7"/>
  <c r="AU273" i="7"/>
  <c r="AU282" i="7" s="1"/>
  <c r="AT273" i="7"/>
  <c r="AT282" i="7" s="1"/>
  <c r="AS273" i="7"/>
  <c r="AS282" i="7" s="1"/>
  <c r="AR273" i="7"/>
  <c r="AR282" i="7" s="1"/>
  <c r="AQ273" i="7"/>
  <c r="AQ282" i="7" s="1"/>
  <c r="AP273" i="7"/>
  <c r="AP282" i="7"/>
  <c r="AO273" i="7"/>
  <c r="AO282" i="7" s="1"/>
  <c r="AN273" i="7"/>
  <c r="AM273" i="7"/>
  <c r="AM282" i="7"/>
  <c r="AL273" i="7"/>
  <c r="AL282" i="7"/>
  <c r="AK273" i="7"/>
  <c r="AK282" i="7"/>
  <c r="AJ273" i="7"/>
  <c r="AJ282" i="7"/>
  <c r="AI273" i="7"/>
  <c r="AI282" i="7"/>
  <c r="AH273" i="7"/>
  <c r="AH282" i="7"/>
  <c r="AG273" i="7"/>
  <c r="AG282" i="7"/>
  <c r="AF273" i="7"/>
  <c r="AF282" i="7"/>
  <c r="AE273" i="7"/>
  <c r="AE282" i="7"/>
  <c r="AD273" i="7"/>
  <c r="AD282" i="7"/>
  <c r="AC273" i="7"/>
  <c r="AC282" i="7"/>
  <c r="AB273" i="7"/>
  <c r="AA273" i="7"/>
  <c r="AA282" i="7"/>
  <c r="Z273" i="7"/>
  <c r="Z282" i="7" s="1"/>
  <c r="Y273" i="7"/>
  <c r="Y282" i="7" s="1"/>
  <c r="X273" i="7"/>
  <c r="W273" i="7"/>
  <c r="W282" i="7"/>
  <c r="V273" i="7"/>
  <c r="V282" i="7"/>
  <c r="U273" i="7"/>
  <c r="U282" i="7"/>
  <c r="T273" i="7"/>
  <c r="T282" i="7"/>
  <c r="S273" i="7"/>
  <c r="S282" i="7"/>
  <c r="R273" i="7"/>
  <c r="R282" i="7"/>
  <c r="Q273" i="7"/>
  <c r="Q282" i="7"/>
  <c r="P273" i="7"/>
  <c r="P282" i="7"/>
  <c r="O273" i="7"/>
  <c r="O282" i="7"/>
  <c r="N273" i="7"/>
  <c r="N282" i="7"/>
  <c r="M273" i="7"/>
  <c r="M282" i="7"/>
  <c r="L273" i="7"/>
  <c r="L282" i="7"/>
  <c r="K273" i="7"/>
  <c r="K282" i="7"/>
  <c r="J273" i="7"/>
  <c r="J282" i="7"/>
  <c r="I273" i="7"/>
  <c r="I282" i="7"/>
  <c r="G287" i="7"/>
  <c r="AN282" i="7"/>
  <c r="AB282" i="7"/>
  <c r="X282" i="7"/>
  <c r="BE252" i="7"/>
  <c r="BD252" i="7"/>
  <c r="BD262" i="7" s="1"/>
  <c r="BC252" i="7"/>
  <c r="BC262" i="7" s="1"/>
  <c r="BB252" i="7"/>
  <c r="BA252" i="7"/>
  <c r="BA262" i="7" s="1"/>
  <c r="AZ252" i="7"/>
  <c r="AZ262" i="7" s="1"/>
  <c r="AY252" i="7"/>
  <c r="AY262" i="7"/>
  <c r="AX252" i="7"/>
  <c r="AW252" i="7"/>
  <c r="AV252" i="7"/>
  <c r="AU252" i="7"/>
  <c r="AT252" i="7"/>
  <c r="AS252" i="7"/>
  <c r="AS262" i="7" s="1"/>
  <c r="AR252" i="7"/>
  <c r="AR262" i="7" s="1"/>
  <c r="AQ252" i="7"/>
  <c r="AP252" i="7"/>
  <c r="AO252" i="7"/>
  <c r="AO262" i="7" s="1"/>
  <c r="AN252" i="7"/>
  <c r="AM252" i="7"/>
  <c r="AL252" i="7"/>
  <c r="AK252" i="7"/>
  <c r="AJ252" i="7"/>
  <c r="AJ262" i="7" s="1"/>
  <c r="AI252" i="7"/>
  <c r="AH252" i="7"/>
  <c r="AG252" i="7"/>
  <c r="AF252" i="7"/>
  <c r="AF262" i="7" s="1"/>
  <c r="AE252" i="7"/>
  <c r="AD252" i="7"/>
  <c r="AC252" i="7"/>
  <c r="AC262" i="7" s="1"/>
  <c r="AB252" i="7"/>
  <c r="AB262" i="7" s="1"/>
  <c r="AA252" i="7"/>
  <c r="Z252" i="7"/>
  <c r="Y252" i="7"/>
  <c r="Y262" i="7" s="1"/>
  <c r="X252" i="7"/>
  <c r="W252" i="7"/>
  <c r="W262" i="7" s="1"/>
  <c r="V252" i="7"/>
  <c r="U252" i="7"/>
  <c r="T252" i="7"/>
  <c r="S252" i="7"/>
  <c r="S262" i="7" s="1"/>
  <c r="R252" i="7"/>
  <c r="Q252" i="7"/>
  <c r="P252" i="7"/>
  <c r="O252" i="7"/>
  <c r="N252" i="7"/>
  <c r="M252" i="7"/>
  <c r="M262" i="7" s="1"/>
  <c r="L252" i="7"/>
  <c r="K252" i="7"/>
  <c r="J252" i="7"/>
  <c r="I252" i="7"/>
  <c r="I262" i="7" s="1"/>
  <c r="H252" i="7"/>
  <c r="B284" i="7"/>
  <c r="B283" i="7"/>
  <c r="B282" i="7"/>
  <c r="B280" i="7"/>
  <c r="G241" i="7"/>
  <c r="BE227" i="7"/>
  <c r="BE236" i="7"/>
  <c r="BD227" i="7"/>
  <c r="BD236" i="7" s="1"/>
  <c r="BC227" i="7"/>
  <c r="BC236" i="7" s="1"/>
  <c r="BB227" i="7"/>
  <c r="BB236" i="7" s="1"/>
  <c r="BA227" i="7"/>
  <c r="BA236" i="7" s="1"/>
  <c r="AZ227" i="7"/>
  <c r="AZ236" i="7" s="1"/>
  <c r="AY227" i="7"/>
  <c r="AY236" i="7" s="1"/>
  <c r="AX227" i="7"/>
  <c r="AW227" i="7"/>
  <c r="AW236" i="7"/>
  <c r="AV227" i="7"/>
  <c r="AV236" i="7" s="1"/>
  <c r="AU227" i="7"/>
  <c r="AT227" i="7"/>
  <c r="AT236" i="7" s="1"/>
  <c r="AS227" i="7"/>
  <c r="AS236" i="7" s="1"/>
  <c r="AR227" i="7"/>
  <c r="AQ227" i="7"/>
  <c r="AP227" i="7"/>
  <c r="AP236" i="7" s="1"/>
  <c r="AO227" i="7"/>
  <c r="AO236" i="7" s="1"/>
  <c r="AN227" i="7"/>
  <c r="AN236" i="7"/>
  <c r="AM227" i="7"/>
  <c r="AM236" i="7" s="1"/>
  <c r="AL227" i="7"/>
  <c r="AK227" i="7"/>
  <c r="AK236" i="7"/>
  <c r="AJ227" i="7"/>
  <c r="AJ236" i="7" s="1"/>
  <c r="AI227" i="7"/>
  <c r="AH227" i="7"/>
  <c r="AG227" i="7"/>
  <c r="AG236" i="7"/>
  <c r="AF227" i="7"/>
  <c r="AF236" i="7"/>
  <c r="AE227" i="7"/>
  <c r="AE236" i="7" s="1"/>
  <c r="AD227" i="7"/>
  <c r="AD236" i="7" s="1"/>
  <c r="AC227" i="7"/>
  <c r="AC236" i="7"/>
  <c r="AB227" i="7"/>
  <c r="AB236" i="7" s="1"/>
  <c r="AA227" i="7"/>
  <c r="AA236" i="7" s="1"/>
  <c r="Z227" i="7"/>
  <c r="Y227" i="7"/>
  <c r="Y236" i="7"/>
  <c r="X227" i="7"/>
  <c r="X236" i="7" s="1"/>
  <c r="W227" i="7"/>
  <c r="W236" i="7" s="1"/>
  <c r="V227" i="7"/>
  <c r="V236" i="7" s="1"/>
  <c r="U227" i="7"/>
  <c r="U236" i="7" s="1"/>
  <c r="T227" i="7"/>
  <c r="S227" i="7"/>
  <c r="R227" i="7"/>
  <c r="Q227" i="7"/>
  <c r="Q236" i="7"/>
  <c r="P227" i="7"/>
  <c r="P236" i="7" s="1"/>
  <c r="O227" i="7"/>
  <c r="N227" i="7"/>
  <c r="M227" i="7"/>
  <c r="M236" i="7" s="1"/>
  <c r="L227" i="7"/>
  <c r="K227" i="7"/>
  <c r="J227" i="7"/>
  <c r="I227" i="7"/>
  <c r="I236" i="7"/>
  <c r="BE206" i="7"/>
  <c r="BD206" i="7"/>
  <c r="BC206" i="7"/>
  <c r="BB206" i="7"/>
  <c r="BA206" i="7"/>
  <c r="BA216" i="7"/>
  <c r="AZ206" i="7"/>
  <c r="AY206" i="7"/>
  <c r="AY216" i="7" s="1"/>
  <c r="AX206" i="7"/>
  <c r="AX216" i="7" s="1"/>
  <c r="AW206" i="7"/>
  <c r="AV206" i="7"/>
  <c r="AU206" i="7"/>
  <c r="AU216" i="7" s="1"/>
  <c r="AT206" i="7"/>
  <c r="AS206" i="7"/>
  <c r="AS216" i="7"/>
  <c r="AR206" i="7"/>
  <c r="AR216" i="7" s="1"/>
  <c r="AQ206" i="7"/>
  <c r="AQ216" i="7" s="1"/>
  <c r="AP206" i="7"/>
  <c r="AP216" i="7" s="1"/>
  <c r="AO206" i="7"/>
  <c r="AO216" i="7" s="1"/>
  <c r="AN206" i="7"/>
  <c r="AN216" i="7"/>
  <c r="AM206" i="7"/>
  <c r="AL206" i="7"/>
  <c r="AK206" i="7"/>
  <c r="AJ206" i="7"/>
  <c r="AI206" i="7"/>
  <c r="AH206" i="7"/>
  <c r="AH216" i="7" s="1"/>
  <c r="AG206" i="7"/>
  <c r="AF206" i="7"/>
  <c r="AE206" i="7"/>
  <c r="AD206" i="7"/>
  <c r="AD216" i="7" s="1"/>
  <c r="AC206" i="7"/>
  <c r="AC216" i="7" s="1"/>
  <c r="AB206" i="7"/>
  <c r="AB216" i="7" s="1"/>
  <c r="AA206" i="7"/>
  <c r="Z206" i="7"/>
  <c r="Z216" i="7" s="1"/>
  <c r="Y206" i="7"/>
  <c r="X206" i="7"/>
  <c r="W206" i="7"/>
  <c r="V206" i="7"/>
  <c r="U206" i="7"/>
  <c r="T206" i="7"/>
  <c r="S206" i="7"/>
  <c r="R206" i="7"/>
  <c r="Q206" i="7"/>
  <c r="P206" i="7"/>
  <c r="P216" i="7"/>
  <c r="O206" i="7"/>
  <c r="N206" i="7"/>
  <c r="M206" i="7"/>
  <c r="L206" i="7"/>
  <c r="K206" i="7"/>
  <c r="J206" i="7"/>
  <c r="I206" i="7"/>
  <c r="I216" i="7"/>
  <c r="B238" i="7"/>
  <c r="B237" i="7"/>
  <c r="B236" i="7"/>
  <c r="B234" i="7"/>
  <c r="G193" i="7"/>
  <c r="BE179" i="7"/>
  <c r="BE188" i="7"/>
  <c r="BD179" i="7"/>
  <c r="BD188" i="7" s="1"/>
  <c r="BC179" i="7"/>
  <c r="BC188" i="7"/>
  <c r="BB179" i="7"/>
  <c r="BB188" i="7" s="1"/>
  <c r="BA179" i="7"/>
  <c r="BA188" i="7" s="1"/>
  <c r="AZ179" i="7"/>
  <c r="AZ188" i="7" s="1"/>
  <c r="AY179" i="7"/>
  <c r="AY188" i="7"/>
  <c r="AX179" i="7"/>
  <c r="AX188" i="7" s="1"/>
  <c r="AW179" i="7"/>
  <c r="AW188" i="7"/>
  <c r="AV179" i="7"/>
  <c r="AV188" i="7" s="1"/>
  <c r="AU179" i="7"/>
  <c r="AU188" i="7"/>
  <c r="AT179" i="7"/>
  <c r="AT188" i="7" s="1"/>
  <c r="AS179" i="7"/>
  <c r="AS188" i="7" s="1"/>
  <c r="AR179" i="7"/>
  <c r="AR188" i="7" s="1"/>
  <c r="AQ179" i="7"/>
  <c r="AQ188" i="7" s="1"/>
  <c r="AP179" i="7"/>
  <c r="AP188" i="7" s="1"/>
  <c r="AO179" i="7"/>
  <c r="AO188" i="7"/>
  <c r="AN179" i="7"/>
  <c r="AN188" i="7" s="1"/>
  <c r="AM179" i="7"/>
  <c r="AM188" i="7"/>
  <c r="AL179" i="7"/>
  <c r="AL188" i="7" s="1"/>
  <c r="AK179" i="7"/>
  <c r="AK188" i="7" s="1"/>
  <c r="AJ179" i="7"/>
  <c r="AJ188" i="7" s="1"/>
  <c r="AI179" i="7"/>
  <c r="AI188" i="7" s="1"/>
  <c r="AH179" i="7"/>
  <c r="AH188" i="7" s="1"/>
  <c r="AG179" i="7"/>
  <c r="AG188" i="7"/>
  <c r="AF179" i="7"/>
  <c r="AF188" i="7" s="1"/>
  <c r="AE179" i="7"/>
  <c r="AE188" i="7"/>
  <c r="AD179" i="7"/>
  <c r="AD188" i="7" s="1"/>
  <c r="AC179" i="7"/>
  <c r="AC188" i="7" s="1"/>
  <c r="AB179" i="7"/>
  <c r="AB188" i="7" s="1"/>
  <c r="AA179" i="7"/>
  <c r="AA188" i="7" s="1"/>
  <c r="Z179" i="7"/>
  <c r="Z188" i="7" s="1"/>
  <c r="Y179" i="7"/>
  <c r="Y188" i="7"/>
  <c r="X179" i="7"/>
  <c r="X188" i="7" s="1"/>
  <c r="W179" i="7"/>
  <c r="W188" i="7"/>
  <c r="V179" i="7"/>
  <c r="V188" i="7" s="1"/>
  <c r="U179" i="7"/>
  <c r="U188" i="7" s="1"/>
  <c r="T179" i="7"/>
  <c r="T188" i="7" s="1"/>
  <c r="S179" i="7"/>
  <c r="S188" i="7"/>
  <c r="R179" i="7"/>
  <c r="R188" i="7" s="1"/>
  <c r="Q179" i="7"/>
  <c r="Q188" i="7"/>
  <c r="P179" i="7"/>
  <c r="P188" i="7" s="1"/>
  <c r="O179" i="7"/>
  <c r="O188" i="7"/>
  <c r="N179" i="7"/>
  <c r="N188" i="7" s="1"/>
  <c r="M179" i="7"/>
  <c r="M188" i="7" s="1"/>
  <c r="L179" i="7"/>
  <c r="L188" i="7" s="1"/>
  <c r="K179" i="7"/>
  <c r="K188" i="7" s="1"/>
  <c r="J179" i="7"/>
  <c r="J188" i="7" s="1"/>
  <c r="I179" i="7"/>
  <c r="I188" i="7"/>
  <c r="F803" i="7"/>
  <c r="G803" i="7"/>
  <c r="F802" i="7"/>
  <c r="G802" i="7"/>
  <c r="D796" i="7"/>
  <c r="BB798" i="7" s="1"/>
  <c r="F789" i="7"/>
  <c r="G789" i="7"/>
  <c r="W789" i="7" s="1"/>
  <c r="F788" i="7"/>
  <c r="G788" i="7"/>
  <c r="G523" i="7"/>
  <c r="G522" i="7"/>
  <c r="G521" i="7"/>
  <c r="G520" i="7"/>
  <c r="H526" i="7" s="1"/>
  <c r="G147" i="7"/>
  <c r="BE112" i="7"/>
  <c r="BD112" i="7"/>
  <c r="BC112" i="7"/>
  <c r="BB112" i="7"/>
  <c r="BA112" i="7"/>
  <c r="AZ112" i="7"/>
  <c r="AZ122" i="7" s="1"/>
  <c r="AY112" i="7"/>
  <c r="AY122" i="7"/>
  <c r="AX112" i="7"/>
  <c r="AW112" i="7"/>
  <c r="AV112" i="7"/>
  <c r="AU112" i="7"/>
  <c r="AT112" i="7"/>
  <c r="AS112" i="7"/>
  <c r="AS122" i="7" s="1"/>
  <c r="AR112" i="7"/>
  <c r="AQ112" i="7"/>
  <c r="AP112" i="7"/>
  <c r="AP122" i="7" s="1"/>
  <c r="AO112" i="7"/>
  <c r="AN112" i="7"/>
  <c r="AM112" i="7"/>
  <c r="AL112" i="7"/>
  <c r="AL122" i="7" s="1"/>
  <c r="AK112" i="7"/>
  <c r="AK122" i="7" s="1"/>
  <c r="AJ112" i="7"/>
  <c r="AI112" i="7"/>
  <c r="AI122" i="7" s="1"/>
  <c r="AH112" i="7"/>
  <c r="AH122" i="7" s="1"/>
  <c r="AG112" i="7"/>
  <c r="AF112" i="7"/>
  <c r="AF122" i="7" s="1"/>
  <c r="AE112" i="7"/>
  <c r="AD112" i="7"/>
  <c r="AD122" i="7" s="1"/>
  <c r="AC112" i="7"/>
  <c r="AC122" i="7" s="1"/>
  <c r="AB112" i="7"/>
  <c r="AA112" i="7"/>
  <c r="Z112" i="7"/>
  <c r="Z122" i="7" s="1"/>
  <c r="Y112" i="7"/>
  <c r="X112" i="7"/>
  <c r="X122" i="7" s="1"/>
  <c r="W112" i="7"/>
  <c r="V112" i="7"/>
  <c r="U112" i="7"/>
  <c r="T112" i="7"/>
  <c r="S112" i="7"/>
  <c r="R112" i="7"/>
  <c r="R122" i="7" s="1"/>
  <c r="Q112" i="7"/>
  <c r="Q122" i="7" s="1"/>
  <c r="P112" i="7"/>
  <c r="P122" i="7" s="1"/>
  <c r="O112" i="7"/>
  <c r="N112" i="7"/>
  <c r="N122" i="7" s="1"/>
  <c r="M112" i="7"/>
  <c r="L112" i="7"/>
  <c r="K112" i="7"/>
  <c r="K122" i="7" s="1"/>
  <c r="J112" i="7"/>
  <c r="I112" i="7"/>
  <c r="H112" i="7"/>
  <c r="BE158" i="7"/>
  <c r="BD158" i="7"/>
  <c r="BC158" i="7"/>
  <c r="BB158" i="7"/>
  <c r="BB168" i="7" s="1"/>
  <c r="BA158" i="7"/>
  <c r="AZ158" i="7"/>
  <c r="AZ168" i="7" s="1"/>
  <c r="AY158" i="7"/>
  <c r="AX158" i="7"/>
  <c r="AW158" i="7"/>
  <c r="AV158" i="7"/>
  <c r="AV168" i="7" s="1"/>
  <c r="AU158" i="7"/>
  <c r="AT158" i="7"/>
  <c r="AT168" i="7" s="1"/>
  <c r="AS158" i="7"/>
  <c r="AR158" i="7"/>
  <c r="AR168" i="7" s="1"/>
  <c r="AQ158" i="7"/>
  <c r="AP158" i="7"/>
  <c r="AO158" i="7"/>
  <c r="AN158" i="7"/>
  <c r="AM158" i="7"/>
  <c r="AL158" i="7"/>
  <c r="AL168" i="7"/>
  <c r="AK158" i="7"/>
  <c r="AJ158" i="7"/>
  <c r="AI158" i="7"/>
  <c r="AH158" i="7"/>
  <c r="AH168" i="7" s="1"/>
  <c r="AG158" i="7"/>
  <c r="AF158" i="7"/>
  <c r="AF168" i="7" s="1"/>
  <c r="AE158" i="7"/>
  <c r="AE168" i="7" s="1"/>
  <c r="AD158" i="7"/>
  <c r="AC158" i="7"/>
  <c r="AB158" i="7"/>
  <c r="AA158" i="7"/>
  <c r="Z158" i="7"/>
  <c r="Z168" i="7" s="1"/>
  <c r="Y158" i="7"/>
  <c r="X158" i="7"/>
  <c r="W158" i="7"/>
  <c r="V158" i="7"/>
  <c r="V168" i="7"/>
  <c r="U158" i="7"/>
  <c r="T158" i="7"/>
  <c r="T168" i="7" s="1"/>
  <c r="S158" i="7"/>
  <c r="R158" i="7"/>
  <c r="Q158" i="7"/>
  <c r="P158" i="7"/>
  <c r="O158" i="7"/>
  <c r="N158" i="7"/>
  <c r="M158" i="7"/>
  <c r="L158" i="7"/>
  <c r="K158" i="7"/>
  <c r="J158" i="7"/>
  <c r="I158" i="7"/>
  <c r="H158" i="7"/>
  <c r="B190" i="7"/>
  <c r="B189" i="7"/>
  <c r="B188" i="7"/>
  <c r="B186" i="7"/>
  <c r="D782" i="7"/>
  <c r="BE133" i="7"/>
  <c r="BE142" i="7" s="1"/>
  <c r="BD133" i="7"/>
  <c r="BD142" i="7" s="1"/>
  <c r="BC133" i="7"/>
  <c r="BC142" i="7" s="1"/>
  <c r="BB133" i="7"/>
  <c r="BB142" i="7" s="1"/>
  <c r="BA133" i="7"/>
  <c r="BA142" i="7"/>
  <c r="AZ133" i="7"/>
  <c r="AZ142" i="7" s="1"/>
  <c r="AY133" i="7"/>
  <c r="AY142" i="7"/>
  <c r="AX133" i="7"/>
  <c r="AX142" i="7" s="1"/>
  <c r="AW133" i="7"/>
  <c r="AW142" i="7" s="1"/>
  <c r="AV133" i="7"/>
  <c r="AV142" i="7" s="1"/>
  <c r="AU133" i="7"/>
  <c r="AU142" i="7"/>
  <c r="AT133" i="7"/>
  <c r="AT142" i="7" s="1"/>
  <c r="AS133" i="7"/>
  <c r="AS142" i="7"/>
  <c r="AR133" i="7"/>
  <c r="AR142" i="7" s="1"/>
  <c r="AQ133" i="7"/>
  <c r="AQ142" i="7"/>
  <c r="AP133" i="7"/>
  <c r="AP142" i="7" s="1"/>
  <c r="AO133" i="7"/>
  <c r="AO142" i="7" s="1"/>
  <c r="AN133" i="7"/>
  <c r="AN142" i="7" s="1"/>
  <c r="AM133" i="7"/>
  <c r="AM142" i="7" s="1"/>
  <c r="AL133" i="7"/>
  <c r="AL142" i="7" s="1"/>
  <c r="AK133" i="7"/>
  <c r="AK142" i="7"/>
  <c r="AJ133" i="7"/>
  <c r="AJ142" i="7" s="1"/>
  <c r="AI133" i="7"/>
  <c r="AI142" i="7"/>
  <c r="AH133" i="7"/>
  <c r="AH142" i="7" s="1"/>
  <c r="AG133" i="7"/>
  <c r="AG142" i="7" s="1"/>
  <c r="AF133" i="7"/>
  <c r="AF142" i="7" s="1"/>
  <c r="AE133" i="7"/>
  <c r="AE142" i="7" s="1"/>
  <c r="AD133" i="7"/>
  <c r="AD142" i="7" s="1"/>
  <c r="AC133" i="7"/>
  <c r="AC142" i="7"/>
  <c r="AB133" i="7"/>
  <c r="AB142" i="7" s="1"/>
  <c r="AA133" i="7"/>
  <c r="AA142" i="7"/>
  <c r="Z133" i="7"/>
  <c r="Z142" i="7" s="1"/>
  <c r="Y133" i="7"/>
  <c r="Y142" i="7" s="1"/>
  <c r="X133" i="7"/>
  <c r="X142" i="7" s="1"/>
  <c r="W133" i="7"/>
  <c r="W142" i="7"/>
  <c r="V133" i="7"/>
  <c r="V142" i="7" s="1"/>
  <c r="U133" i="7"/>
  <c r="U142" i="7"/>
  <c r="T133" i="7"/>
  <c r="T142" i="7" s="1"/>
  <c r="S133" i="7"/>
  <c r="S142" i="7"/>
  <c r="R133" i="7"/>
  <c r="R142" i="7" s="1"/>
  <c r="Q133" i="7"/>
  <c r="Q142" i="7" s="1"/>
  <c r="P133" i="7"/>
  <c r="P142" i="7" s="1"/>
  <c r="O133" i="7"/>
  <c r="O142" i="7"/>
  <c r="N133" i="7"/>
  <c r="N142" i="7" s="1"/>
  <c r="M133" i="7"/>
  <c r="M142" i="7"/>
  <c r="L133" i="7"/>
  <c r="L142" i="7" s="1"/>
  <c r="K133" i="7"/>
  <c r="K142" i="7"/>
  <c r="J133" i="7"/>
  <c r="J142" i="7" s="1"/>
  <c r="I133" i="7"/>
  <c r="I142" i="7" s="1"/>
  <c r="B144" i="7"/>
  <c r="B143" i="7"/>
  <c r="B142" i="7"/>
  <c r="B140" i="7"/>
  <c r="G99" i="7"/>
  <c r="BE85" i="7"/>
  <c r="BE94" i="7"/>
  <c r="BD85" i="7"/>
  <c r="BD94" i="7"/>
  <c r="BC85" i="7"/>
  <c r="BC94" i="7"/>
  <c r="BB85" i="7"/>
  <c r="BB94" i="7"/>
  <c r="BA85" i="7"/>
  <c r="BA94" i="7"/>
  <c r="AZ85" i="7"/>
  <c r="AZ94" i="7"/>
  <c r="AY85" i="7"/>
  <c r="AY94" i="7"/>
  <c r="AX85" i="7"/>
  <c r="AX94" i="7"/>
  <c r="AW85" i="7"/>
  <c r="AW94" i="7"/>
  <c r="AV85" i="7"/>
  <c r="AV94" i="7"/>
  <c r="AU85" i="7"/>
  <c r="AU94" i="7"/>
  <c r="AT85" i="7"/>
  <c r="AT94" i="7"/>
  <c r="AS85" i="7"/>
  <c r="AS94" i="7"/>
  <c r="AR85" i="7"/>
  <c r="AR94" i="7"/>
  <c r="AQ85" i="7"/>
  <c r="AQ94" i="7"/>
  <c r="AP85" i="7"/>
  <c r="AP94" i="7"/>
  <c r="AO85" i="7"/>
  <c r="AO94" i="7"/>
  <c r="AN85" i="7"/>
  <c r="AN94" i="7"/>
  <c r="AM85" i="7"/>
  <c r="AM94" i="7"/>
  <c r="AL85" i="7"/>
  <c r="AL94" i="7"/>
  <c r="AK85" i="7"/>
  <c r="AK94" i="7"/>
  <c r="AJ85" i="7"/>
  <c r="AJ94" i="7"/>
  <c r="AI85" i="7"/>
  <c r="AI94" i="7"/>
  <c r="AH85" i="7"/>
  <c r="AH94" i="7"/>
  <c r="AG85" i="7"/>
  <c r="AG94" i="7"/>
  <c r="AF85" i="7"/>
  <c r="AF94" i="7"/>
  <c r="AE85" i="7"/>
  <c r="AE94" i="7"/>
  <c r="AD85" i="7"/>
  <c r="AD94" i="7"/>
  <c r="AC85" i="7"/>
  <c r="AC94" i="7"/>
  <c r="AB85" i="7"/>
  <c r="AB94" i="7"/>
  <c r="AA85" i="7"/>
  <c r="AA94" i="7"/>
  <c r="Z85" i="7"/>
  <c r="Z94" i="7"/>
  <c r="Y85" i="7"/>
  <c r="Y94" i="7"/>
  <c r="X85" i="7"/>
  <c r="X94" i="7"/>
  <c r="W85" i="7"/>
  <c r="W94" i="7"/>
  <c r="V85" i="7"/>
  <c r="V94" i="7"/>
  <c r="U85" i="7"/>
  <c r="U94" i="7"/>
  <c r="T85" i="7"/>
  <c r="T94" i="7"/>
  <c r="S85" i="7"/>
  <c r="S94" i="7"/>
  <c r="R85" i="7"/>
  <c r="R94" i="7"/>
  <c r="Q85" i="7"/>
  <c r="Q94" i="7"/>
  <c r="P85" i="7"/>
  <c r="P94" i="7"/>
  <c r="O85" i="7"/>
  <c r="O94" i="7"/>
  <c r="N85" i="7"/>
  <c r="N94" i="7"/>
  <c r="M85" i="7"/>
  <c r="M94" i="7"/>
  <c r="L85" i="7"/>
  <c r="L94" i="7"/>
  <c r="K85" i="7"/>
  <c r="K94" i="7"/>
  <c r="J85" i="7"/>
  <c r="J94" i="7"/>
  <c r="I85" i="7"/>
  <c r="I94" i="7"/>
  <c r="BE64" i="7"/>
  <c r="BE74" i="7" s="1"/>
  <c r="BD64" i="7"/>
  <c r="BD74" i="7" s="1"/>
  <c r="BC64" i="7"/>
  <c r="BC74" i="7" s="1"/>
  <c r="BB64" i="7"/>
  <c r="BB74" i="7" s="1"/>
  <c r="BA64" i="7"/>
  <c r="AZ64" i="7"/>
  <c r="AY64" i="7"/>
  <c r="AX64" i="7"/>
  <c r="AW64" i="7"/>
  <c r="AV64" i="7"/>
  <c r="AU64" i="7"/>
  <c r="AU74" i="7" s="1"/>
  <c r="AT64" i="7"/>
  <c r="AT74" i="7" s="1"/>
  <c r="AS64" i="7"/>
  <c r="AS74" i="7" s="1"/>
  <c r="AR64" i="7"/>
  <c r="AR74" i="7" s="1"/>
  <c r="AQ64" i="7"/>
  <c r="AQ74" i="7" s="1"/>
  <c r="AP64" i="7"/>
  <c r="AO64" i="7"/>
  <c r="AN64" i="7"/>
  <c r="AM64" i="7"/>
  <c r="AM74" i="7" s="1"/>
  <c r="AL64" i="7"/>
  <c r="AK64" i="7"/>
  <c r="AJ64" i="7"/>
  <c r="AJ74" i="7" s="1"/>
  <c r="AI64" i="7"/>
  <c r="AI74" i="7"/>
  <c r="AH64" i="7"/>
  <c r="AH74" i="7" s="1"/>
  <c r="AG64" i="7"/>
  <c r="AG74" i="7" s="1"/>
  <c r="AF64" i="7"/>
  <c r="AE64" i="7"/>
  <c r="AD64" i="7"/>
  <c r="AC64" i="7"/>
  <c r="AB64" i="7"/>
  <c r="AA64" i="7"/>
  <c r="Z64" i="7"/>
  <c r="Z74" i="7" s="1"/>
  <c r="Y64" i="7"/>
  <c r="Y74" i="7" s="1"/>
  <c r="X64" i="7"/>
  <c r="X74" i="7" s="1"/>
  <c r="W64" i="7"/>
  <c r="W74" i="7"/>
  <c r="V64" i="7"/>
  <c r="U64" i="7"/>
  <c r="U74" i="7" s="1"/>
  <c r="T64" i="7"/>
  <c r="S64" i="7"/>
  <c r="S74" i="7"/>
  <c r="R64" i="7"/>
  <c r="Q64" i="7"/>
  <c r="Q74" i="7" s="1"/>
  <c r="P64" i="7"/>
  <c r="O64" i="7"/>
  <c r="O74" i="7"/>
  <c r="N64" i="7"/>
  <c r="M64" i="7"/>
  <c r="L64" i="7"/>
  <c r="K64" i="7"/>
  <c r="J64" i="7"/>
  <c r="I64" i="7"/>
  <c r="H64" i="7"/>
  <c r="H73" i="7" s="1"/>
  <c r="H72" i="7"/>
  <c r="B96" i="7"/>
  <c r="B95" i="7"/>
  <c r="B94" i="7"/>
  <c r="B92" i="7"/>
  <c r="B50" i="7"/>
  <c r="B49" i="7"/>
  <c r="B48" i="7"/>
  <c r="B46" i="7"/>
  <c r="G754" i="7"/>
  <c r="G753" i="7"/>
  <c r="G752" i="7"/>
  <c r="BD758" i="7"/>
  <c r="BD759" i="7" s="1"/>
  <c r="G751" i="7"/>
  <c r="H757" i="7" s="1"/>
  <c r="H758" i="7"/>
  <c r="AT716" i="7"/>
  <c r="AT722" i="7" s="1"/>
  <c r="C758" i="7"/>
  <c r="C757" i="7"/>
  <c r="C754" i="7"/>
  <c r="C753" i="7"/>
  <c r="C752" i="7"/>
  <c r="C728" i="7"/>
  <c r="C727" i="7"/>
  <c r="C712" i="7"/>
  <c r="C711" i="7"/>
  <c r="C705" i="7"/>
  <c r="G677" i="7"/>
  <c r="G676" i="7"/>
  <c r="G675" i="7"/>
  <c r="AT681" i="7"/>
  <c r="AT229" i="7" s="1"/>
  <c r="AT238" i="7" s="1"/>
  <c r="G674" i="7"/>
  <c r="H680" i="7" s="1"/>
  <c r="AA638" i="7"/>
  <c r="C681" i="7"/>
  <c r="C680" i="7"/>
  <c r="C677" i="7"/>
  <c r="C676" i="7"/>
  <c r="C675" i="7"/>
  <c r="BC659" i="7"/>
  <c r="C651" i="7"/>
  <c r="C650" i="7"/>
  <c r="C635" i="7"/>
  <c r="C634" i="7"/>
  <c r="C628" i="7"/>
  <c r="G599" i="7"/>
  <c r="G598" i="7"/>
  <c r="G597" i="7"/>
  <c r="G596" i="7"/>
  <c r="H602" i="7" s="1"/>
  <c r="AS540" i="7"/>
  <c r="C603" i="7"/>
  <c r="C602" i="7"/>
  <c r="C599" i="7"/>
  <c r="C598" i="7"/>
  <c r="C597" i="7"/>
  <c r="AR582" i="7"/>
  <c r="AR588" i="7" s="1"/>
  <c r="C573" i="7"/>
  <c r="C572" i="7"/>
  <c r="C557" i="7"/>
  <c r="C556" i="7"/>
  <c r="C550" i="7"/>
  <c r="G445" i="7"/>
  <c r="G444" i="7"/>
  <c r="G443" i="7"/>
  <c r="AK449" i="7" s="1"/>
  <c r="AK450" i="7"/>
  <c r="AK87" i="7"/>
  <c r="AK96" i="7" s="1"/>
  <c r="G442" i="7"/>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1" i="8"/>
  <c r="U160" i="8"/>
  <c r="U159" i="8"/>
  <c r="U157" i="8"/>
  <c r="U156" i="8"/>
  <c r="U155" i="8"/>
  <c r="F342" i="4"/>
  <c r="F341" i="4"/>
  <c r="C270" i="4"/>
  <c r="C269" i="4"/>
  <c r="F266" i="4"/>
  <c r="F265" i="4"/>
  <c r="C266" i="4"/>
  <c r="C265" i="4"/>
  <c r="C264" i="4"/>
  <c r="S75" i="4"/>
  <c r="O75" i="4"/>
  <c r="I28" i="7"/>
  <c r="M28" i="7"/>
  <c r="Q28" i="7"/>
  <c r="U28" i="7"/>
  <c r="Y28" i="7"/>
  <c r="AC28" i="7"/>
  <c r="AG28" i="7"/>
  <c r="AK28" i="7"/>
  <c r="AO28" i="7"/>
  <c r="AS28" i="7"/>
  <c r="AW28" i="7"/>
  <c r="BA28" i="7"/>
  <c r="BE28" i="7"/>
  <c r="I70" i="7"/>
  <c r="I92" i="7" s="1"/>
  <c r="I73" i="7"/>
  <c r="I72" i="7" s="1"/>
  <c r="M74" i="7"/>
  <c r="AC74" i="7"/>
  <c r="AG70" i="7"/>
  <c r="AG92" i="7" s="1"/>
  <c r="AK74" i="7"/>
  <c r="BA74" i="7"/>
  <c r="X262" i="7"/>
  <c r="AN262" i="7"/>
  <c r="AV262" i="7"/>
  <c r="J28" i="7"/>
  <c r="N28" i="7"/>
  <c r="R28" i="7"/>
  <c r="V28" i="7"/>
  <c r="Z28" i="7"/>
  <c r="AD28" i="7"/>
  <c r="AH28" i="7"/>
  <c r="AL28" i="7"/>
  <c r="AP28" i="7"/>
  <c r="AT28" i="7"/>
  <c r="AX28" i="7"/>
  <c r="BB28" i="7"/>
  <c r="J70" i="7"/>
  <c r="J92" i="7" s="1"/>
  <c r="J74" i="7"/>
  <c r="R70" i="7"/>
  <c r="R92" i="7" s="1"/>
  <c r="AD74" i="7"/>
  <c r="AH70" i="7"/>
  <c r="AH92" i="7" s="1"/>
  <c r="AL70" i="7"/>
  <c r="AL92" i="7" s="1"/>
  <c r="AP70" i="7"/>
  <c r="AP92" i="7" s="1"/>
  <c r="AP74" i="7"/>
  <c r="AX70" i="7"/>
  <c r="AX92" i="7" s="1"/>
  <c r="AX74" i="7"/>
  <c r="BB70" i="7"/>
  <c r="BB92" i="7" s="1"/>
  <c r="R168" i="7"/>
  <c r="AB122" i="7"/>
  <c r="AF118" i="7"/>
  <c r="AF140" i="7" s="1"/>
  <c r="AV118" i="7"/>
  <c r="AV140" i="7" s="1"/>
  <c r="AV122" i="7"/>
  <c r="BD122" i="7"/>
  <c r="Q262" i="7"/>
  <c r="U262" i="7"/>
  <c r="AG262" i="7"/>
  <c r="AK262" i="7"/>
  <c r="AW262" i="7"/>
  <c r="BE262" i="7"/>
  <c r="W28" i="7"/>
  <c r="K168" i="7"/>
  <c r="O168" i="7"/>
  <c r="S168" i="7"/>
  <c r="W168" i="7"/>
  <c r="AA168" i="7"/>
  <c r="AI168" i="7"/>
  <c r="AM168" i="7"/>
  <c r="U122" i="7"/>
  <c r="Y122" i="7"/>
  <c r="AG122" i="7"/>
  <c r="AO122" i="7"/>
  <c r="AW122" i="7"/>
  <c r="BE122" i="7"/>
  <c r="Z262" i="7"/>
  <c r="AP262" i="7"/>
  <c r="H29" i="7"/>
  <c r="H28" i="7"/>
  <c r="L28" i="7"/>
  <c r="P28" i="7"/>
  <c r="T28" i="7"/>
  <c r="X28" i="7"/>
  <c r="AB28" i="7"/>
  <c r="AF28" i="7"/>
  <c r="AJ28" i="7"/>
  <c r="AN28" i="7"/>
  <c r="AR28" i="7"/>
  <c r="AV28" i="7"/>
  <c r="AZ28" i="7"/>
  <c r="BD28" i="7"/>
  <c r="H75" i="7"/>
  <c r="H76" i="7"/>
  <c r="P70" i="7"/>
  <c r="P92" i="7" s="1"/>
  <c r="P74" i="7"/>
  <c r="AB70" i="7"/>
  <c r="AB92" i="7" s="1"/>
  <c r="AN70" i="7"/>
  <c r="AN92" i="7" s="1"/>
  <c r="AR70" i="7"/>
  <c r="AR92" i="7" s="1"/>
  <c r="AV70" i="7"/>
  <c r="AV92" i="7" s="1"/>
  <c r="AZ70" i="7"/>
  <c r="AZ92" i="7" s="1"/>
  <c r="H168" i="7"/>
  <c r="H170" i="7"/>
  <c r="L168" i="7"/>
  <c r="AJ168" i="7"/>
  <c r="BD168" i="7"/>
  <c r="J118" i="7"/>
  <c r="J140" i="7" s="1"/>
  <c r="R118" i="7"/>
  <c r="R140" i="7" s="1"/>
  <c r="V118" i="7"/>
  <c r="V140" i="7" s="1"/>
  <c r="V122" i="7"/>
  <c r="Z118" i="7"/>
  <c r="Z140" i="7" s="1"/>
  <c r="AL118" i="7"/>
  <c r="AL140" i="7" s="1"/>
  <c r="AP118" i="7"/>
  <c r="AP140" i="7" s="1"/>
  <c r="AT122" i="7"/>
  <c r="BB118" i="7"/>
  <c r="BB140" i="7" s="1"/>
  <c r="AQ262" i="7"/>
  <c r="W216" i="7"/>
  <c r="AE216" i="7"/>
  <c r="AM216" i="7"/>
  <c r="BC216" i="7"/>
  <c r="AV216" i="7"/>
  <c r="AK216" i="7"/>
  <c r="BE216" i="7"/>
  <c r="Z258" i="7"/>
  <c r="Z280" i="7" s="1"/>
  <c r="AD258" i="7"/>
  <c r="AD280" i="7" s="1"/>
  <c r="AH258" i="7"/>
  <c r="AH280" i="7" s="1"/>
  <c r="AL258" i="7"/>
  <c r="AL280" i="7" s="1"/>
  <c r="K216" i="7"/>
  <c r="S216" i="7"/>
  <c r="AA216" i="7"/>
  <c r="AI216" i="7"/>
  <c r="AZ216" i="7"/>
  <c r="J216" i="7"/>
  <c r="N212" i="7"/>
  <c r="N234" i="7" s="1"/>
  <c r="R216" i="7"/>
  <c r="V212" i="7"/>
  <c r="V234" i="7" s="1"/>
  <c r="V216" i="7"/>
  <c r="AL212" i="7"/>
  <c r="AL234" i="7" s="1"/>
  <c r="AL216" i="7"/>
  <c r="AT212" i="7"/>
  <c r="AT234" i="7" s="1"/>
  <c r="AT216" i="7"/>
  <c r="BB216" i="7"/>
  <c r="O258" i="7"/>
  <c r="O280" i="7" s="1"/>
  <c r="AM258" i="7"/>
  <c r="AM280" i="7" s="1"/>
  <c r="AU258" i="7"/>
  <c r="AU280" i="7" s="1"/>
  <c r="AE258" i="7"/>
  <c r="AE280" i="7" s="1"/>
  <c r="W258" i="7"/>
  <c r="W280" i="7" s="1"/>
  <c r="BC258" i="7"/>
  <c r="BC280" i="7" s="1"/>
  <c r="H258" i="7"/>
  <c r="H280" i="7" s="1"/>
  <c r="P258" i="7"/>
  <c r="P280" i="7" s="1"/>
  <c r="X258" i="7"/>
  <c r="X280" i="7" s="1"/>
  <c r="AF258" i="7"/>
  <c r="AF280" i="7" s="1"/>
  <c r="AN258" i="7"/>
  <c r="AN280" i="7" s="1"/>
  <c r="AV258" i="7"/>
  <c r="AV280" i="7" s="1"/>
  <c r="BD258" i="7"/>
  <c r="BD280" i="7" s="1"/>
  <c r="K258" i="7"/>
  <c r="K280" i="7" s="1"/>
  <c r="S258" i="7"/>
  <c r="S280" i="7" s="1"/>
  <c r="AA258" i="7"/>
  <c r="AA280" i="7" s="1"/>
  <c r="AI258" i="7"/>
  <c r="AI280" i="7" s="1"/>
  <c r="AQ258" i="7"/>
  <c r="AQ280" i="7" s="1"/>
  <c r="AY258" i="7"/>
  <c r="AY280" i="7" s="1"/>
  <c r="L258" i="7"/>
  <c r="L280" i="7" s="1"/>
  <c r="T258" i="7"/>
  <c r="T280" i="7" s="1"/>
  <c r="AB258" i="7"/>
  <c r="AB280" i="7" s="1"/>
  <c r="AJ258" i="7"/>
  <c r="AJ280" i="7" s="1"/>
  <c r="AR258" i="7"/>
  <c r="AR280" i="7" s="1"/>
  <c r="AZ258" i="7"/>
  <c r="AZ280" i="7" s="1"/>
  <c r="I258" i="7"/>
  <c r="I280" i="7" s="1"/>
  <c r="M258" i="7"/>
  <c r="M280" i="7" s="1"/>
  <c r="Q258" i="7"/>
  <c r="Q280" i="7" s="1"/>
  <c r="U258" i="7"/>
  <c r="U280" i="7" s="1"/>
  <c r="Y258" i="7"/>
  <c r="Y280" i="7" s="1"/>
  <c r="AC258" i="7"/>
  <c r="AC280" i="7" s="1"/>
  <c r="AG258" i="7"/>
  <c r="AG280" i="7" s="1"/>
  <c r="AK258" i="7"/>
  <c r="AK280" i="7" s="1"/>
  <c r="AO258" i="7"/>
  <c r="AO280" i="7" s="1"/>
  <c r="AS258" i="7"/>
  <c r="AS280" i="7" s="1"/>
  <c r="AW258" i="7"/>
  <c r="AW280" i="7" s="1"/>
  <c r="BA258" i="7"/>
  <c r="BA280" i="7" s="1"/>
  <c r="BE258" i="7"/>
  <c r="BE280" i="7" s="1"/>
  <c r="J258" i="7"/>
  <c r="J280" i="7" s="1"/>
  <c r="N258" i="7"/>
  <c r="N280" i="7" s="1"/>
  <c r="R258" i="7"/>
  <c r="R280" i="7" s="1"/>
  <c r="V258" i="7"/>
  <c r="V280" i="7" s="1"/>
  <c r="AP258" i="7"/>
  <c r="AP280" i="7" s="1"/>
  <c r="AT258" i="7"/>
  <c r="AT280" i="7" s="1"/>
  <c r="AX258" i="7"/>
  <c r="AX280" i="7" s="1"/>
  <c r="BB258" i="7"/>
  <c r="BB280" i="7" s="1"/>
  <c r="AA212" i="7"/>
  <c r="AA234" i="7" s="1"/>
  <c r="AY212" i="7"/>
  <c r="AY234" i="7" s="1"/>
  <c r="S212" i="7"/>
  <c r="S234" i="7" s="1"/>
  <c r="AI212" i="7"/>
  <c r="AI234" i="7" s="1"/>
  <c r="K212" i="7"/>
  <c r="K234" i="7" s="1"/>
  <c r="AQ212" i="7"/>
  <c r="AQ234" i="7" s="1"/>
  <c r="O212" i="7"/>
  <c r="O234" i="7" s="1"/>
  <c r="AE212" i="7"/>
  <c r="AE234" i="7" s="1"/>
  <c r="AU212" i="7"/>
  <c r="AU234" i="7" s="1"/>
  <c r="W212" i="7"/>
  <c r="W234" i="7" s="1"/>
  <c r="AM212" i="7"/>
  <c r="AM234" i="7" s="1"/>
  <c r="BC212" i="7"/>
  <c r="BC234" i="7" s="1"/>
  <c r="I212" i="7"/>
  <c r="I234" i="7" s="1"/>
  <c r="M212" i="7"/>
  <c r="M234" i="7" s="1"/>
  <c r="Q212" i="7"/>
  <c r="Q234" i="7" s="1"/>
  <c r="U212" i="7"/>
  <c r="U234" i="7" s="1"/>
  <c r="Y212" i="7"/>
  <c r="Y234" i="7" s="1"/>
  <c r="AC212" i="7"/>
  <c r="AC234" i="7" s="1"/>
  <c r="AG212" i="7"/>
  <c r="AG234" i="7" s="1"/>
  <c r="AK212" i="7"/>
  <c r="AK234" i="7" s="1"/>
  <c r="AO212" i="7"/>
  <c r="AO234" i="7" s="1"/>
  <c r="AS212" i="7"/>
  <c r="AS234" i="7" s="1"/>
  <c r="AW212" i="7"/>
  <c r="AW234" i="7" s="1"/>
  <c r="BA212" i="7"/>
  <c r="BA234" i="7" s="1"/>
  <c r="BE212" i="7"/>
  <c r="BE234" i="7" s="1"/>
  <c r="J212" i="7"/>
  <c r="J234" i="7"/>
  <c r="R212" i="7"/>
  <c r="R234" i="7" s="1"/>
  <c r="Z212" i="7"/>
  <c r="Z234" i="7" s="1"/>
  <c r="AH212" i="7"/>
  <c r="AH234" i="7" s="1"/>
  <c r="AP212" i="7"/>
  <c r="AP234" i="7" s="1"/>
  <c r="AX212" i="7"/>
  <c r="AX234" i="7" s="1"/>
  <c r="AD212" i="7"/>
  <c r="AD234" i="7" s="1"/>
  <c r="BB212" i="7"/>
  <c r="BB234" i="7" s="1"/>
  <c r="H212" i="7"/>
  <c r="H234" i="7" s="1"/>
  <c r="L212" i="7"/>
  <c r="L234" i="7" s="1"/>
  <c r="P212" i="7"/>
  <c r="P234" i="7" s="1"/>
  <c r="T212" i="7"/>
  <c r="T234" i="7" s="1"/>
  <c r="X212" i="7"/>
  <c r="X234" i="7" s="1"/>
  <c r="AB212" i="7"/>
  <c r="AB234" i="7" s="1"/>
  <c r="AF212" i="7"/>
  <c r="AF234" i="7" s="1"/>
  <c r="AJ212" i="7"/>
  <c r="AJ234" i="7" s="1"/>
  <c r="AN212" i="7"/>
  <c r="AN234" i="7" s="1"/>
  <c r="AR212" i="7"/>
  <c r="AR234" i="7" s="1"/>
  <c r="AV212" i="7"/>
  <c r="AV234" i="7" s="1"/>
  <c r="AZ212" i="7"/>
  <c r="AZ234" i="7" s="1"/>
  <c r="BD212" i="7"/>
  <c r="BD234" i="7" s="1"/>
  <c r="J236" i="7"/>
  <c r="N236" i="7"/>
  <c r="R236" i="7"/>
  <c r="Z236" i="7"/>
  <c r="AH236" i="7"/>
  <c r="AL236" i="7"/>
  <c r="AX236" i="7"/>
  <c r="K236" i="7"/>
  <c r="O236" i="7"/>
  <c r="S236" i="7"/>
  <c r="AI236" i="7"/>
  <c r="AQ236" i="7"/>
  <c r="AU236" i="7"/>
  <c r="L236" i="7"/>
  <c r="T236" i="7"/>
  <c r="AR236" i="7"/>
  <c r="L164" i="7"/>
  <c r="L186" i="7" s="1"/>
  <c r="AB164" i="7"/>
  <c r="AB186" i="7" s="1"/>
  <c r="AE164" i="7"/>
  <c r="AE186" i="7" s="1"/>
  <c r="AU164" i="7"/>
  <c r="AU186" i="7" s="1"/>
  <c r="BC164" i="7"/>
  <c r="BC186" i="7" s="1"/>
  <c r="O164" i="7"/>
  <c r="O186" i="7" s="1"/>
  <c r="AM164" i="7"/>
  <c r="AM186" i="7" s="1"/>
  <c r="AH118" i="7"/>
  <c r="AH140" i="7" s="1"/>
  <c r="W164" i="7"/>
  <c r="W186" i="7" s="1"/>
  <c r="AR164" i="7"/>
  <c r="H164" i="7"/>
  <c r="H186" i="7" s="1"/>
  <c r="P164" i="7"/>
  <c r="P186" i="7" s="1"/>
  <c r="X164" i="7"/>
  <c r="X186" i="7" s="1"/>
  <c r="AF164" i="7"/>
  <c r="AF186" i="7" s="1"/>
  <c r="AN164" i="7"/>
  <c r="AN186" i="7" s="1"/>
  <c r="AV164" i="7"/>
  <c r="AV186" i="7" s="1"/>
  <c r="BD164" i="7"/>
  <c r="BD186" i="7" s="1"/>
  <c r="T164" i="7"/>
  <c r="T186" i="7" s="1"/>
  <c r="AJ164" i="7"/>
  <c r="AJ186" i="7" s="1"/>
  <c r="AZ164" i="7"/>
  <c r="AZ186" i="7" s="1"/>
  <c r="AX118" i="7"/>
  <c r="AX140" i="7" s="1"/>
  <c r="K164" i="7"/>
  <c r="K186" i="7" s="1"/>
  <c r="S164" i="7"/>
  <c r="S186" i="7" s="1"/>
  <c r="AA164" i="7"/>
  <c r="AA186" i="7" s="1"/>
  <c r="AI164" i="7"/>
  <c r="AI186" i="7" s="1"/>
  <c r="AQ164" i="7"/>
  <c r="AQ186" i="7" s="1"/>
  <c r="AY164" i="7"/>
  <c r="AY186" i="7" s="1"/>
  <c r="N164" i="7"/>
  <c r="N186" i="7" s="1"/>
  <c r="AD164" i="7"/>
  <c r="AD186" i="7" s="1"/>
  <c r="R164" i="7"/>
  <c r="R186" i="7" s="1"/>
  <c r="AH164" i="7"/>
  <c r="AH186" i="7" s="1"/>
  <c r="I118" i="7"/>
  <c r="I140" i="7" s="1"/>
  <c r="Q118" i="7"/>
  <c r="Q140" i="7" s="1"/>
  <c r="U118" i="7"/>
  <c r="U140" i="7" s="1"/>
  <c r="Y118" i="7"/>
  <c r="Y140" i="7" s="1"/>
  <c r="AC118" i="7"/>
  <c r="AC140" i="7" s="1"/>
  <c r="AG118" i="7"/>
  <c r="AG140" i="7" s="1"/>
  <c r="AK118" i="7"/>
  <c r="AK140" i="7" s="1"/>
  <c r="AO118" i="7"/>
  <c r="AO140" i="7" s="1"/>
  <c r="AS118" i="7"/>
  <c r="AS140" i="7" s="1"/>
  <c r="AW118" i="7"/>
  <c r="AW140" i="7" s="1"/>
  <c r="BA118" i="7"/>
  <c r="BA140" i="7" s="1"/>
  <c r="BE118" i="7"/>
  <c r="BE140" i="7" s="1"/>
  <c r="J164" i="7"/>
  <c r="J186" i="7" s="1"/>
  <c r="V164" i="7"/>
  <c r="V186" i="7" s="1"/>
  <c r="Z164" i="7"/>
  <c r="Z186" i="7" s="1"/>
  <c r="AL164" i="7"/>
  <c r="AL186" i="7" s="1"/>
  <c r="AP164" i="7"/>
  <c r="AP186" i="7" s="1"/>
  <c r="AT164" i="7"/>
  <c r="AT186" i="7" s="1"/>
  <c r="AX164" i="7"/>
  <c r="AX186" i="7" s="1"/>
  <c r="BB164" i="7"/>
  <c r="BB186" i="7" s="1"/>
  <c r="I164" i="7"/>
  <c r="I186" i="7" s="1"/>
  <c r="M164" i="7"/>
  <c r="M186" i="7" s="1"/>
  <c r="Q164" i="7"/>
  <c r="Q186" i="7" s="1"/>
  <c r="U164" i="7"/>
  <c r="U186" i="7" s="1"/>
  <c r="Y164" i="7"/>
  <c r="Y186" i="7" s="1"/>
  <c r="AC164" i="7"/>
  <c r="AC186" i="7" s="1"/>
  <c r="AG164" i="7"/>
  <c r="AG186" i="7" s="1"/>
  <c r="AK164" i="7"/>
  <c r="AK186" i="7" s="1"/>
  <c r="AO164" i="7"/>
  <c r="AO186" i="7" s="1"/>
  <c r="AS164" i="7"/>
  <c r="AS186" i="7" s="1"/>
  <c r="AW164" i="7"/>
  <c r="AW186" i="7"/>
  <c r="BA164" i="7"/>
  <c r="BA186" i="7" s="1"/>
  <c r="BE164" i="7"/>
  <c r="BE186" i="7" s="1"/>
  <c r="AR118" i="7"/>
  <c r="AR140" i="7" s="1"/>
  <c r="AB118" i="7"/>
  <c r="AB140" i="7" s="1"/>
  <c r="AT118" i="7"/>
  <c r="AT140" i="7" s="1"/>
  <c r="AD118" i="7"/>
  <c r="AD140" i="7" s="1"/>
  <c r="O118" i="7"/>
  <c r="O140" i="7" s="1"/>
  <c r="L118" i="7"/>
  <c r="L140" i="7" s="1"/>
  <c r="P118" i="7"/>
  <c r="P140" i="7" s="1"/>
  <c r="X118" i="7"/>
  <c r="X140" i="7" s="1"/>
  <c r="AI118" i="7"/>
  <c r="AI140" i="7" s="1"/>
  <c r="AN118" i="7"/>
  <c r="AN140" i="7" s="1"/>
  <c r="AY118" i="7"/>
  <c r="AY140" i="7" s="1"/>
  <c r="BD118" i="7"/>
  <c r="BD140" i="7" s="1"/>
  <c r="M118" i="7"/>
  <c r="M140" i="7" s="1"/>
  <c r="AE118" i="7"/>
  <c r="AE140" i="7" s="1"/>
  <c r="AJ118" i="7"/>
  <c r="AJ140" i="7" s="1"/>
  <c r="AU118" i="7"/>
  <c r="AU140" i="7" s="1"/>
  <c r="AZ118" i="7"/>
  <c r="AZ140" i="7" s="1"/>
  <c r="K118" i="7"/>
  <c r="K140" i="7" s="1"/>
  <c r="S118" i="7"/>
  <c r="W118" i="7"/>
  <c r="W140" i="7" s="1"/>
  <c r="AM118" i="7"/>
  <c r="AM140" i="7" s="1"/>
  <c r="BC118" i="7"/>
  <c r="BC140" i="7" s="1"/>
  <c r="H118" i="7"/>
  <c r="H140" i="7" s="1"/>
  <c r="T118" i="7"/>
  <c r="T140" i="7" s="1"/>
  <c r="N118" i="7"/>
  <c r="N140" i="7" s="1"/>
  <c r="AA118" i="7"/>
  <c r="AA140" i="7" s="1"/>
  <c r="AQ118" i="7"/>
  <c r="AQ140" i="7" s="1"/>
  <c r="BB660" i="7"/>
  <c r="BB666" i="7" s="1"/>
  <c r="AG659" i="7"/>
  <c r="BD70" i="7"/>
  <c r="BD92" i="7" s="1"/>
  <c r="T70" i="7"/>
  <c r="T92" i="7" s="1"/>
  <c r="AJ70" i="7"/>
  <c r="AJ92" i="7" s="1"/>
  <c r="L70" i="7"/>
  <c r="L92" i="7" s="1"/>
  <c r="Z70" i="7"/>
  <c r="Z92" i="7" s="1"/>
  <c r="N70" i="7"/>
  <c r="N92" i="7" s="1"/>
  <c r="V70" i="7"/>
  <c r="V92" i="7" s="1"/>
  <c r="X70" i="7"/>
  <c r="X92" i="7" s="1"/>
  <c r="H70" i="7"/>
  <c r="H92" i="7" s="1"/>
  <c r="K70" i="7"/>
  <c r="K92" i="7" s="1"/>
  <c r="O70" i="7"/>
  <c r="O92" i="7" s="1"/>
  <c r="S70" i="7"/>
  <c r="S92" i="7" s="1"/>
  <c r="AU70" i="7"/>
  <c r="M70" i="7"/>
  <c r="M92" i="7" s="1"/>
  <c r="U70" i="7"/>
  <c r="U92" i="7" s="1"/>
  <c r="Y70" i="7"/>
  <c r="Y92" i="7" s="1"/>
  <c r="AC70" i="7"/>
  <c r="AC92" i="7" s="1"/>
  <c r="AK70" i="7"/>
  <c r="AK92" i="7" s="1"/>
  <c r="AO70" i="7"/>
  <c r="AO92" i="7" s="1"/>
  <c r="AS70" i="7"/>
  <c r="AS92" i="7" s="1"/>
  <c r="BA70" i="7"/>
  <c r="BA92" i="7" s="1"/>
  <c r="BE70" i="7"/>
  <c r="BE92" i="7" s="1"/>
  <c r="AM70" i="7"/>
  <c r="AM92" i="7" s="1"/>
  <c r="Q70" i="7"/>
  <c r="Q92" i="7"/>
  <c r="BC70" i="7"/>
  <c r="BC92" i="7" s="1"/>
  <c r="AA70" i="7"/>
  <c r="AA92" i="7" s="1"/>
  <c r="AE70" i="7"/>
  <c r="AI70" i="7"/>
  <c r="AQ70" i="7"/>
  <c r="AQ92" i="7" s="1"/>
  <c r="AY70" i="7"/>
  <c r="AY92" i="7" s="1"/>
  <c r="W70" i="7"/>
  <c r="W92" i="7" s="1"/>
  <c r="AW70" i="7"/>
  <c r="AW92" i="7" s="1"/>
  <c r="AF70" i="7"/>
  <c r="AF92" i="7" s="1"/>
  <c r="AD70" i="7"/>
  <c r="AD92" i="7" s="1"/>
  <c r="AT70" i="7"/>
  <c r="AT92" i="7" s="1"/>
  <c r="AE659" i="7"/>
  <c r="AE226" i="7" s="1"/>
  <c r="AD358" i="7"/>
  <c r="V358" i="7"/>
  <c r="AO358" i="7"/>
  <c r="U358" i="7"/>
  <c r="BB540" i="7"/>
  <c r="AR659" i="7"/>
  <c r="AW581" i="7"/>
  <c r="AW178" i="7" s="1"/>
  <c r="AM539" i="7"/>
  <c r="AM176" i="7" s="1"/>
  <c r="AY638" i="7"/>
  <c r="AY225" i="7" s="1"/>
  <c r="W659" i="7"/>
  <c r="AU659" i="7"/>
  <c r="AU226" i="7" s="1"/>
  <c r="AZ681" i="7"/>
  <c r="AD681" i="7"/>
  <c r="AH540" i="7"/>
  <c r="AH546" i="7" s="1"/>
  <c r="AG581" i="7"/>
  <c r="AJ659" i="7"/>
  <c r="AJ226" i="7" s="1"/>
  <c r="AN660" i="7"/>
  <c r="AN666" i="7" s="1"/>
  <c r="AL681" i="7"/>
  <c r="AL682" i="7" s="1"/>
  <c r="AT695" i="7"/>
  <c r="AT701" i="7" s="1"/>
  <c r="BD695" i="7"/>
  <c r="BD701" i="7" s="1"/>
  <c r="X694" i="7"/>
  <c r="X270" i="7" s="1"/>
  <c r="AB694" i="7"/>
  <c r="AG540" i="7"/>
  <c r="BE581" i="7"/>
  <c r="AP681" i="7"/>
  <c r="AW694" i="7"/>
  <c r="AW270" i="7" s="1"/>
  <c r="AQ695" i="7"/>
  <c r="AQ701" i="7" s="1"/>
  <c r="AB681" i="7"/>
  <c r="AB682" i="7" s="1"/>
  <c r="AX681" i="7"/>
  <c r="AX229" i="7" s="1"/>
  <c r="AX238" i="7" s="1"/>
  <c r="Y695" i="7"/>
  <c r="AI695" i="7"/>
  <c r="AR758" i="7"/>
  <c r="V582" i="7"/>
  <c r="V588" i="7" s="1"/>
  <c r="AR581" i="7"/>
  <c r="AU582" i="7"/>
  <c r="AU588" i="7" s="1"/>
  <c r="L758" i="7"/>
  <c r="L275" i="7" s="1"/>
  <c r="L284" i="7" s="1"/>
  <c r="AW539" i="7"/>
  <c r="BC540" i="7"/>
  <c r="BC546" i="7" s="1"/>
  <c r="U581" i="7"/>
  <c r="U178" i="7" s="1"/>
  <c r="AK581" i="7"/>
  <c r="AS581" i="7"/>
  <c r="AS178" i="7" s="1"/>
  <c r="BA581" i="7"/>
  <c r="BA178" i="7" s="1"/>
  <c r="AJ582" i="7"/>
  <c r="AJ588" i="7" s="1"/>
  <c r="AZ582" i="7"/>
  <c r="AZ588" i="7" s="1"/>
  <c r="J527" i="7"/>
  <c r="Y659" i="7"/>
  <c r="AO659" i="7"/>
  <c r="AO226" i="7" s="1"/>
  <c r="AD660" i="7"/>
  <c r="AD666" i="7" s="1"/>
  <c r="AA694" i="7"/>
  <c r="AA270" i="7" s="1"/>
  <c r="AH695" i="7"/>
  <c r="AO695" i="7"/>
  <c r="AO701" i="7" s="1"/>
  <c r="AB758" i="7"/>
  <c r="AB275" i="7" s="1"/>
  <c r="AB284" i="7" s="1"/>
  <c r="AJ581" i="7"/>
  <c r="AZ581" i="7"/>
  <c r="AE582" i="7"/>
  <c r="AE588" i="7" s="1"/>
  <c r="AI639" i="7"/>
  <c r="AI645" i="7" s="1"/>
  <c r="AC527" i="7"/>
  <c r="AC581" i="7"/>
  <c r="AN581" i="7"/>
  <c r="AV581" i="7"/>
  <c r="BD581" i="7"/>
  <c r="AM582" i="7"/>
  <c r="AP715" i="7"/>
  <c r="AP271" i="7" s="1"/>
  <c r="AR463" i="7"/>
  <c r="AR130" i="7" s="1"/>
  <c r="AD449" i="7"/>
  <c r="AS449" i="7"/>
  <c r="AS87" i="7" s="1"/>
  <c r="AS96" i="7" s="1"/>
  <c r="BA449" i="7"/>
  <c r="AT449" i="7"/>
  <c r="BA639" i="7"/>
  <c r="BA645" i="7" s="1"/>
  <c r="AY639" i="7"/>
  <c r="AY645" i="7" s="1"/>
  <c r="AE639" i="7"/>
  <c r="AE645" i="7" s="1"/>
  <c r="AQ638" i="7"/>
  <c r="AQ225" i="7" s="1"/>
  <c r="W638" i="7"/>
  <c r="AU639" i="7"/>
  <c r="AA639" i="7"/>
  <c r="AA645" i="7" s="1"/>
  <c r="AM638" i="7"/>
  <c r="AM640" i="7" s="1"/>
  <c r="AQ639" i="7"/>
  <c r="BC638" i="7"/>
  <c r="BC225" i="7" s="1"/>
  <c r="AI638" i="7"/>
  <c r="AI716" i="7"/>
  <c r="AI722" i="7" s="1"/>
  <c r="AF715" i="7"/>
  <c r="X716" i="7"/>
  <c r="X715" i="7"/>
  <c r="X717" i="7" s="1"/>
  <c r="BD716" i="7"/>
  <c r="BA715" i="7"/>
  <c r="BA271" i="7" s="1"/>
  <c r="M758" i="7"/>
  <c r="M759" i="7" s="1"/>
  <c r="AC758" i="7"/>
  <c r="AS758" i="7"/>
  <c r="AS275" i="7" s="1"/>
  <c r="AS284" i="7" s="1"/>
  <c r="AN539" i="7"/>
  <c r="AN176" i="7" s="1"/>
  <c r="AQ540" i="7"/>
  <c r="AQ546" i="7"/>
  <c r="AB659" i="7"/>
  <c r="AM659" i="7"/>
  <c r="AM226" i="7" s="1"/>
  <c r="AW659" i="7"/>
  <c r="AW226" i="7" s="1"/>
  <c r="AZ660" i="7"/>
  <c r="Y694" i="7"/>
  <c r="Y270" i="7" s="1"/>
  <c r="AO694" i="7"/>
  <c r="AO270" i="7" s="1"/>
  <c r="AE695" i="7"/>
  <c r="AE701" i="7" s="1"/>
  <c r="AU695" i="7"/>
  <c r="AU701" i="7" s="1"/>
  <c r="T758" i="7"/>
  <c r="T275" i="7" s="1"/>
  <c r="T284" i="7" s="1"/>
  <c r="AJ758" i="7"/>
  <c r="AZ758" i="7"/>
  <c r="AZ275" i="7" s="1"/>
  <c r="AZ284" i="7" s="1"/>
  <c r="J681" i="7"/>
  <c r="U758" i="7"/>
  <c r="U759" i="7" s="1"/>
  <c r="AK758" i="7"/>
  <c r="AK759" i="7" s="1"/>
  <c r="AK275" i="7"/>
  <c r="AK284" i="7" s="1"/>
  <c r="BA758" i="7"/>
  <c r="BA759" i="7" s="1"/>
  <c r="AG464" i="7"/>
  <c r="AG470" i="7" s="1"/>
  <c r="AQ463" i="7"/>
  <c r="AM464" i="7"/>
  <c r="AM470" i="7" s="1"/>
  <c r="AL464" i="7"/>
  <c r="AL470" i="7" s="1"/>
  <c r="BE716" i="7"/>
  <c r="BA716" i="7"/>
  <c r="AW716" i="7"/>
  <c r="AW722" i="7" s="1"/>
  <c r="AS716" i="7"/>
  <c r="AS722" i="7" s="1"/>
  <c r="AO716" i="7"/>
  <c r="AO722" i="7" s="1"/>
  <c r="AK716" i="7"/>
  <c r="AG716" i="7"/>
  <c r="AG722" i="7" s="1"/>
  <c r="AC716" i="7"/>
  <c r="AC722" i="7" s="1"/>
  <c r="Y716" i="7"/>
  <c r="Y722" i="7" s="1"/>
  <c r="BC715" i="7"/>
  <c r="AY715" i="7"/>
  <c r="AY271" i="7" s="1"/>
  <c r="AU715" i="7"/>
  <c r="AU271" i="7" s="1"/>
  <c r="AQ715" i="7"/>
  <c r="AM715" i="7"/>
  <c r="AM271" i="7" s="1"/>
  <c r="AI715" i="7"/>
  <c r="AE715" i="7"/>
  <c r="AE271" i="7" s="1"/>
  <c r="AA715" i="7"/>
  <c r="AA271" i="7" s="1"/>
  <c r="W715" i="7"/>
  <c r="W271" i="7" s="1"/>
  <c r="BB716" i="7"/>
  <c r="BB722" i="7" s="1"/>
  <c r="AV716" i="7"/>
  <c r="AV722" i="7" s="1"/>
  <c r="AQ716" i="7"/>
  <c r="AQ722" i="7" s="1"/>
  <c r="AL716" i="7"/>
  <c r="AL722" i="7" s="1"/>
  <c r="AF716" i="7"/>
  <c r="AF722" i="7" s="1"/>
  <c r="AA716" i="7"/>
  <c r="AA722" i="7" s="1"/>
  <c r="BD715" i="7"/>
  <c r="BD271" i="7" s="1"/>
  <c r="AX715" i="7"/>
  <c r="AS715" i="7"/>
  <c r="AN715" i="7"/>
  <c r="AN271" i="7" s="1"/>
  <c r="AH715" i="7"/>
  <c r="AH271" i="7" s="1"/>
  <c r="AC715" i="7"/>
  <c r="AZ716" i="7"/>
  <c r="AZ722" i="7" s="1"/>
  <c r="AU716" i="7"/>
  <c r="AU722" i="7" s="1"/>
  <c r="AP716" i="7"/>
  <c r="AP722" i="7" s="1"/>
  <c r="AJ716" i="7"/>
  <c r="AJ722" i="7" s="1"/>
  <c r="AE716" i="7"/>
  <c r="AE722" i="7" s="1"/>
  <c r="Z716" i="7"/>
  <c r="Z722" i="7" s="1"/>
  <c r="BB715" i="7"/>
  <c r="AW715" i="7"/>
  <c r="AR715" i="7"/>
  <c r="AR271" i="7" s="1"/>
  <c r="AL715" i="7"/>
  <c r="AL271" i="7" s="1"/>
  <c r="AG715" i="7"/>
  <c r="AG271" i="7" s="1"/>
  <c r="AB715" i="7"/>
  <c r="Y715" i="7"/>
  <c r="AT715" i="7"/>
  <c r="AM716" i="7"/>
  <c r="AM722" i="7" s="1"/>
  <c r="AL449" i="7"/>
  <c r="AL450" i="7" s="1"/>
  <c r="BB449" i="7"/>
  <c r="BB450" i="7" s="1"/>
  <c r="BD540" i="7"/>
  <c r="BD546" i="7" s="1"/>
  <c r="AY539" i="7"/>
  <c r="AY176" i="7" s="1"/>
  <c r="AL618" i="7"/>
  <c r="AL624" i="7" s="1"/>
  <c r="AE638" i="7"/>
  <c r="AE225" i="7" s="1"/>
  <c r="AU638" i="7"/>
  <c r="AU225" i="7" s="1"/>
  <c r="W639" i="7"/>
  <c r="W645" i="7" s="1"/>
  <c r="AM639" i="7"/>
  <c r="AM645" i="7"/>
  <c r="BC639" i="7"/>
  <c r="BC645" i="7" s="1"/>
  <c r="Z715" i="7"/>
  <c r="Z271" i="7" s="1"/>
  <c r="AK715" i="7"/>
  <c r="AK271" i="7" s="1"/>
  <c r="AV715" i="7"/>
  <c r="AD716" i="7"/>
  <c r="AD722" i="7" s="1"/>
  <c r="AN716" i="7"/>
  <c r="AN722" i="7" s="1"/>
  <c r="AY716" i="7"/>
  <c r="AY722" i="7" s="1"/>
  <c r="AJ715" i="7"/>
  <c r="AJ271" i="7" s="1"/>
  <c r="BE715" i="7"/>
  <c r="BE271" i="7" s="1"/>
  <c r="AB716" i="7"/>
  <c r="AB722" i="7" s="1"/>
  <c r="AX716" i="7"/>
  <c r="AX722" i="7"/>
  <c r="AC449" i="7"/>
  <c r="AC87" i="7" s="1"/>
  <c r="AC96" i="7" s="1"/>
  <c r="AD715" i="7"/>
  <c r="AO715" i="7"/>
  <c r="AZ715" i="7"/>
  <c r="AZ271" i="7" s="1"/>
  <c r="W716" i="7"/>
  <c r="W722" i="7" s="1"/>
  <c r="AH716" i="7"/>
  <c r="AH722" i="7" s="1"/>
  <c r="AR716" i="7"/>
  <c r="BC716" i="7"/>
  <c r="BC722" i="7" s="1"/>
  <c r="AP694" i="7"/>
  <c r="AP270" i="7" s="1"/>
  <c r="AJ695" i="7"/>
  <c r="AJ701" i="7" s="1"/>
  <c r="AN695" i="7"/>
  <c r="AN701" i="7" s="1"/>
  <c r="P758" i="7"/>
  <c r="P275" i="7" s="1"/>
  <c r="P284" i="7" s="1"/>
  <c r="X758" i="7"/>
  <c r="X759" i="7" s="1"/>
  <c r="AF758" i="7"/>
  <c r="AF275" i="7" s="1"/>
  <c r="AF284" i="7" s="1"/>
  <c r="AN758" i="7"/>
  <c r="AV758" i="7"/>
  <c r="AV759" i="7" s="1"/>
  <c r="BC758" i="7"/>
  <c r="AY758" i="7"/>
  <c r="AU758" i="7"/>
  <c r="AU275" i="7" s="1"/>
  <c r="AU284" i="7" s="1"/>
  <c r="AQ758" i="7"/>
  <c r="AM758" i="7"/>
  <c r="AM759" i="7" s="1"/>
  <c r="AI758" i="7"/>
  <c r="AI275" i="7" s="1"/>
  <c r="AE758" i="7"/>
  <c r="AE759" i="7" s="1"/>
  <c r="AA758" i="7"/>
  <c r="AA759" i="7" s="1"/>
  <c r="W758" i="7"/>
  <c r="W759" i="7" s="1"/>
  <c r="S758" i="7"/>
  <c r="S759" i="7" s="1"/>
  <c r="O758" i="7"/>
  <c r="O759" i="7"/>
  <c r="K758" i="7"/>
  <c r="BB758" i="7"/>
  <c r="BB759" i="7" s="1"/>
  <c r="AX758" i="7"/>
  <c r="AT758" i="7"/>
  <c r="AT759" i="7" s="1"/>
  <c r="AP758" i="7"/>
  <c r="AL758" i="7"/>
  <c r="AL275" i="7" s="1"/>
  <c r="AH758" i="7"/>
  <c r="AH759" i="7" s="1"/>
  <c r="AD758" i="7"/>
  <c r="Z758" i="7"/>
  <c r="Z275" i="7" s="1"/>
  <c r="V758" i="7"/>
  <c r="V275" i="7" s="1"/>
  <c r="R758" i="7"/>
  <c r="R759" i="7" s="1"/>
  <c r="N758" i="7"/>
  <c r="N759" i="7" s="1"/>
  <c r="J758" i="7"/>
  <c r="J275" i="7" s="1"/>
  <c r="J284" i="7" s="1"/>
  <c r="I758" i="7"/>
  <c r="Q758" i="7"/>
  <c r="Q759" i="7" s="1"/>
  <c r="Y758" i="7"/>
  <c r="Y275" i="7" s="1"/>
  <c r="Y284" i="7" s="1"/>
  <c r="AG758" i="7"/>
  <c r="AO758" i="7"/>
  <c r="AW758" i="7"/>
  <c r="AW275" i="7" s="1"/>
  <c r="BE758" i="7"/>
  <c r="BE275" i="7" s="1"/>
  <c r="BE284" i="7" s="1"/>
  <c r="N681" i="7"/>
  <c r="AH681" i="7"/>
  <c r="AR681" i="7"/>
  <c r="AR682" i="7" s="1"/>
  <c r="BB681" i="7"/>
  <c r="Z681" i="7"/>
  <c r="Z682" i="7" s="1"/>
  <c r="AJ681" i="7"/>
  <c r="AJ229" i="7" s="1"/>
  <c r="AJ238" i="7" s="1"/>
  <c r="AZ659" i="7"/>
  <c r="AZ226" i="7" s="1"/>
  <c r="BE659" i="7"/>
  <c r="BE226" i="7" s="1"/>
  <c r="X660" i="7"/>
  <c r="X666" i="7" s="1"/>
  <c r="AJ660" i="7"/>
  <c r="AT660" i="7"/>
  <c r="AT666" i="7" s="1"/>
  <c r="BD660" i="7"/>
  <c r="BD666" i="7" s="1"/>
  <c r="AA659" i="7"/>
  <c r="AF659" i="7"/>
  <c r="AF226" i="7" s="1"/>
  <c r="AK659" i="7"/>
  <c r="AK226" i="7" s="1"/>
  <c r="AQ659" i="7"/>
  <c r="AQ226" i="7" s="1"/>
  <c r="AV659" i="7"/>
  <c r="BA659" i="7"/>
  <c r="AB660" i="7"/>
  <c r="AB666" i="7" s="1"/>
  <c r="AL660" i="7"/>
  <c r="AL666" i="7" s="1"/>
  <c r="AV660" i="7"/>
  <c r="AV666" i="7" s="1"/>
  <c r="X659" i="7"/>
  <c r="X226" i="7" s="1"/>
  <c r="AC659" i="7"/>
  <c r="AI659" i="7"/>
  <c r="AI226" i="7" s="1"/>
  <c r="AN659" i="7"/>
  <c r="AN226" i="7" s="1"/>
  <c r="AS659" i="7"/>
  <c r="AS226" i="7" s="1"/>
  <c r="AY659" i="7"/>
  <c r="AY226" i="7" s="1"/>
  <c r="BD659" i="7"/>
  <c r="AF660" i="7"/>
  <c r="AF666" i="7" s="1"/>
  <c r="AR660" i="7"/>
  <c r="AR666" i="7" s="1"/>
  <c r="Y638" i="7"/>
  <c r="Y225" i="7" s="1"/>
  <c r="AG638" i="7"/>
  <c r="AO638" i="7"/>
  <c r="AO225" i="7" s="1"/>
  <c r="AW638" i="7"/>
  <c r="AW225" i="7" s="1"/>
  <c r="BE638" i="7"/>
  <c r="BE225" i="7" s="1"/>
  <c r="Y639" i="7"/>
  <c r="AG639" i="7"/>
  <c r="AG645" i="7" s="1"/>
  <c r="AO639" i="7"/>
  <c r="AW639" i="7"/>
  <c r="BE639" i="7"/>
  <c r="BD639" i="7"/>
  <c r="BD645" i="7" s="1"/>
  <c r="AC638" i="7"/>
  <c r="AC225" i="7" s="1"/>
  <c r="AK638" i="7"/>
  <c r="AK225" i="7" s="1"/>
  <c r="AS638" i="7"/>
  <c r="BA638" i="7"/>
  <c r="AC639" i="7"/>
  <c r="AK639" i="7"/>
  <c r="AK645" i="7" s="1"/>
  <c r="AS639" i="7"/>
  <c r="BA540" i="7"/>
  <c r="BA546" i="7" s="1"/>
  <c r="AU540" i="7"/>
  <c r="AU546" i="7" s="1"/>
  <c r="AP540" i="7"/>
  <c r="AK540" i="7"/>
  <c r="AK546" i="7" s="1"/>
  <c r="BA539" i="7"/>
  <c r="AV539" i="7"/>
  <c r="AV176" i="7" s="1"/>
  <c r="AQ539" i="7"/>
  <c r="AQ176" i="7" s="1"/>
  <c r="AK539" i="7"/>
  <c r="BE540" i="7"/>
  <c r="BE546" i="7" s="1"/>
  <c r="AY540" i="7"/>
  <c r="AY546" i="7" s="1"/>
  <c r="AT540" i="7"/>
  <c r="AT546" i="7"/>
  <c r="AO540" i="7"/>
  <c r="AO546" i="7" s="1"/>
  <c r="AI540" i="7"/>
  <c r="AI546" i="7" s="1"/>
  <c r="BE539" i="7"/>
  <c r="BE176" i="7"/>
  <c r="AZ539" i="7"/>
  <c r="AU539" i="7"/>
  <c r="AU541" i="7" s="1"/>
  <c r="AO539" i="7"/>
  <c r="AO176" i="7" s="1"/>
  <c r="AJ539" i="7"/>
  <c r="Z540" i="7"/>
  <c r="Z546" i="7" s="1"/>
  <c r="S784" i="7"/>
  <c r="AY784" i="7"/>
  <c r="AG539" i="7"/>
  <c r="AG176" i="7" s="1"/>
  <c r="AR539" i="7"/>
  <c r="AR176" i="7" s="1"/>
  <c r="BC539" i="7"/>
  <c r="AL540" i="7"/>
  <c r="AL546" i="7" s="1"/>
  <c r="AW540" i="7"/>
  <c r="AW546" i="7" s="1"/>
  <c r="AI539" i="7"/>
  <c r="AI176" i="7" s="1"/>
  <c r="AS539" i="7"/>
  <c r="AS176" i="7" s="1"/>
  <c r="BD539" i="7"/>
  <c r="BD176" i="7" s="1"/>
  <c r="AM540" i="7"/>
  <c r="AM546" i="7" s="1"/>
  <c r="AX540" i="7"/>
  <c r="AG463" i="7"/>
  <c r="AG130" i="7" s="1"/>
  <c r="BC464" i="7"/>
  <c r="BC470" i="7"/>
  <c r="L603" i="7"/>
  <c r="R681" i="7"/>
  <c r="V681" i="7"/>
  <c r="V229" i="7" s="1"/>
  <c r="V238" i="7" s="1"/>
  <c r="L681" i="7"/>
  <c r="T681" i="7"/>
  <c r="X638" i="7"/>
  <c r="AB638" i="7"/>
  <c r="AB225" i="7" s="1"/>
  <c r="AF638" i="7"/>
  <c r="AJ638" i="7"/>
  <c r="AJ225" i="7" s="1"/>
  <c r="AN638" i="7"/>
  <c r="AR638" i="7"/>
  <c r="AR225" i="7" s="1"/>
  <c r="AV638" i="7"/>
  <c r="AZ638" i="7"/>
  <c r="AZ225" i="7"/>
  <c r="BD638" i="7"/>
  <c r="Z639" i="7"/>
  <c r="Z645" i="7" s="1"/>
  <c r="AD639" i="7"/>
  <c r="AD645" i="7" s="1"/>
  <c r="AH639" i="7"/>
  <c r="AH645" i="7" s="1"/>
  <c r="AL639" i="7"/>
  <c r="AL645" i="7" s="1"/>
  <c r="AP639" i="7"/>
  <c r="AP645" i="7" s="1"/>
  <c r="AT639" i="7"/>
  <c r="AT645" i="7" s="1"/>
  <c r="AX639" i="7"/>
  <c r="BB639" i="7"/>
  <c r="Z638" i="7"/>
  <c r="Z225" i="7" s="1"/>
  <c r="AD638" i="7"/>
  <c r="AD225" i="7" s="1"/>
  <c r="AH638" i="7"/>
  <c r="AL638" i="7"/>
  <c r="AL225" i="7" s="1"/>
  <c r="AP638" i="7"/>
  <c r="AT638" i="7"/>
  <c r="AT225" i="7" s="1"/>
  <c r="AX638" i="7"/>
  <c r="AX225" i="7" s="1"/>
  <c r="BB638" i="7"/>
  <c r="BB225" i="7" s="1"/>
  <c r="X639" i="7"/>
  <c r="X645" i="7" s="1"/>
  <c r="AB639" i="7"/>
  <c r="AB645" i="7" s="1"/>
  <c r="AF639" i="7"/>
  <c r="AF645" i="7" s="1"/>
  <c r="AJ639" i="7"/>
  <c r="AN639" i="7"/>
  <c r="AN645" i="7" s="1"/>
  <c r="AR639" i="7"/>
  <c r="AV639" i="7"/>
  <c r="AV645" i="7" s="1"/>
  <c r="AZ639" i="7"/>
  <c r="AZ645" i="7" s="1"/>
  <c r="BC660" i="7"/>
  <c r="AY660" i="7"/>
  <c r="AY666" i="7" s="1"/>
  <c r="AU660" i="7"/>
  <c r="AU666" i="7" s="1"/>
  <c r="AQ660" i="7"/>
  <c r="AQ666" i="7" s="1"/>
  <c r="AM660" i="7"/>
  <c r="AM666" i="7" s="1"/>
  <c r="AI660" i="7"/>
  <c r="AE660" i="7"/>
  <c r="AA660" i="7"/>
  <c r="AA666" i="7" s="1"/>
  <c r="W660" i="7"/>
  <c r="W666" i="7" s="1"/>
  <c r="BE660" i="7"/>
  <c r="BE666" i="7" s="1"/>
  <c r="BA660" i="7"/>
  <c r="BA666" i="7" s="1"/>
  <c r="AW660" i="7"/>
  <c r="AW666" i="7" s="1"/>
  <c r="AS660" i="7"/>
  <c r="AS666" i="7" s="1"/>
  <c r="AO660" i="7"/>
  <c r="AO661" i="7" s="1"/>
  <c r="AK660" i="7"/>
  <c r="AK666" i="7" s="1"/>
  <c r="AG660" i="7"/>
  <c r="AG666" i="7" s="1"/>
  <c r="AC660" i="7"/>
  <c r="AC666" i="7" s="1"/>
  <c r="Y660" i="7"/>
  <c r="Y666" i="7" s="1"/>
  <c r="Z659" i="7"/>
  <c r="Z226" i="7" s="1"/>
  <c r="AD659" i="7"/>
  <c r="AD226" i="7" s="1"/>
  <c r="AH659" i="7"/>
  <c r="AH226" i="7" s="1"/>
  <c r="AL659" i="7"/>
  <c r="AL226" i="7" s="1"/>
  <c r="AP659" i="7"/>
  <c r="AP226" i="7" s="1"/>
  <c r="AT659" i="7"/>
  <c r="AX659" i="7"/>
  <c r="AX226" i="7" s="1"/>
  <c r="BB659" i="7"/>
  <c r="Z660" i="7"/>
  <c r="AH660" i="7"/>
  <c r="AH666" i="7" s="1"/>
  <c r="AP660" i="7"/>
  <c r="AX660" i="7"/>
  <c r="AX666" i="7" s="1"/>
  <c r="BC681" i="7"/>
  <c r="BC682" i="7" s="1"/>
  <c r="AY681" i="7"/>
  <c r="AY682" i="7" s="1"/>
  <c r="AU681" i="7"/>
  <c r="AU229" i="7" s="1"/>
  <c r="AU238" i="7" s="1"/>
  <c r="AQ681" i="7"/>
  <c r="AQ229" i="7" s="1"/>
  <c r="AQ238" i="7" s="1"/>
  <c r="AM681" i="7"/>
  <c r="AI681" i="7"/>
  <c r="AE681" i="7"/>
  <c r="AA681" i="7"/>
  <c r="W681" i="7"/>
  <c r="W229" i="7" s="1"/>
  <c r="W238" i="7" s="1"/>
  <c r="S681" i="7"/>
  <c r="S229" i="7" s="1"/>
  <c r="S238" i="7" s="1"/>
  <c r="O681" i="7"/>
  <c r="K681" i="7"/>
  <c r="K229" i="7" s="1"/>
  <c r="K238" i="7" s="1"/>
  <c r="BE681" i="7"/>
  <c r="BA681" i="7"/>
  <c r="BA229" i="7" s="1"/>
  <c r="BA238" i="7" s="1"/>
  <c r="AW681" i="7"/>
  <c r="AS681" i="7"/>
  <c r="AO681" i="7"/>
  <c r="AK681" i="7"/>
  <c r="AG681" i="7"/>
  <c r="AG682" i="7" s="1"/>
  <c r="AC681" i="7"/>
  <c r="AC229" i="7" s="1"/>
  <c r="AC238" i="7" s="1"/>
  <c r="Y681" i="7"/>
  <c r="U681" i="7"/>
  <c r="U682" i="7" s="1"/>
  <c r="Q681" i="7"/>
  <c r="Q682" i="7" s="1"/>
  <c r="M681" i="7"/>
  <c r="M229" i="7" s="1"/>
  <c r="M238" i="7" s="1"/>
  <c r="I681" i="7"/>
  <c r="I229" i="7" s="1"/>
  <c r="I238" i="7" s="1"/>
  <c r="H681" i="7"/>
  <c r="P681" i="7"/>
  <c r="P229" i="7" s="1"/>
  <c r="P238" i="7" s="1"/>
  <c r="X681" i="7"/>
  <c r="AF681" i="7"/>
  <c r="AN681" i="7"/>
  <c r="AN229" i="7" s="1"/>
  <c r="AN238" i="7" s="1"/>
  <c r="AV681" i="7"/>
  <c r="AV229" i="7" s="1"/>
  <c r="AV238" i="7" s="1"/>
  <c r="BD681" i="7"/>
  <c r="BD682" i="7" s="1"/>
  <c r="AR603" i="7"/>
  <c r="AR181" i="7" s="1"/>
  <c r="AR190" i="7" s="1"/>
  <c r="M527" i="7"/>
  <c r="U527" i="7"/>
  <c r="U135" i="7" s="1"/>
  <c r="U144" i="7" s="1"/>
  <c r="P527" i="7"/>
  <c r="H527" i="7"/>
  <c r="U540" i="7"/>
  <c r="X561" i="7"/>
  <c r="X567" i="7" s="1"/>
  <c r="W539" i="7"/>
  <c r="W176" i="7" s="1"/>
  <c r="AD540" i="7"/>
  <c r="AD546" i="7" s="1"/>
  <c r="Y540" i="7"/>
  <c r="Y546" i="7" s="1"/>
  <c r="AF539" i="7"/>
  <c r="AA539" i="7"/>
  <c r="AA176" i="7" s="1"/>
  <c r="U539" i="7"/>
  <c r="U176" i="7" s="1"/>
  <c r="AC540" i="7"/>
  <c r="AC546" i="7" s="1"/>
  <c r="W540" i="7"/>
  <c r="W546" i="7" s="1"/>
  <c r="AE539" i="7"/>
  <c r="Y539" i="7"/>
  <c r="Y176" i="7" s="1"/>
  <c r="AA540" i="7"/>
  <c r="AA546" i="7" s="1"/>
  <c r="V540" i="7"/>
  <c r="V546" i="7" s="1"/>
  <c r="AC539" i="7"/>
  <c r="AC176" i="7" s="1"/>
  <c r="X539" i="7"/>
  <c r="X176" i="7" s="1"/>
  <c r="AB539" i="7"/>
  <c r="AE540" i="7"/>
  <c r="AE546" i="7" s="1"/>
  <c r="AU561" i="7"/>
  <c r="AU567" i="7" s="1"/>
  <c r="AQ561" i="7"/>
  <c r="AQ567" i="7" s="1"/>
  <c r="AI561" i="7"/>
  <c r="AI567" i="7" s="1"/>
  <c r="AE561" i="7"/>
  <c r="AE567" i="7" s="1"/>
  <c r="BE560" i="7"/>
  <c r="BE177" i="7" s="1"/>
  <c r="BA560" i="7"/>
  <c r="BA177" i="7" s="1"/>
  <c r="AS560" i="7"/>
  <c r="AS177" i="7" s="1"/>
  <c r="AO560" i="7"/>
  <c r="AC560" i="7"/>
  <c r="Y560" i="7"/>
  <c r="Y177" i="7" s="1"/>
  <c r="BB561" i="7"/>
  <c r="BB567" i="7" s="1"/>
  <c r="AX561" i="7"/>
  <c r="AX567" i="7" s="1"/>
  <c r="AL561" i="7"/>
  <c r="AL567" i="7" s="1"/>
  <c r="AH561" i="7"/>
  <c r="AH567" i="7" s="1"/>
  <c r="V561" i="7"/>
  <c r="V567" i="7" s="1"/>
  <c r="BD560" i="7"/>
  <c r="BD177" i="7" s="1"/>
  <c r="AR560" i="7"/>
  <c r="AN560" i="7"/>
  <c r="AB560" i="7"/>
  <c r="AB177" i="7" s="1"/>
  <c r="X560" i="7"/>
  <c r="X177" i="7" s="1"/>
  <c r="AW561" i="7"/>
  <c r="AW567" i="7" s="1"/>
  <c r="AS561" i="7"/>
  <c r="AS567" i="7" s="1"/>
  <c r="AG561" i="7"/>
  <c r="AG567" i="7" s="1"/>
  <c r="AC561" i="7"/>
  <c r="AC567" i="7" s="1"/>
  <c r="BC560" i="7"/>
  <c r="AY560" i="7"/>
  <c r="AY177" i="7" s="1"/>
  <c r="AM560" i="7"/>
  <c r="AI560" i="7"/>
  <c r="AI177" i="7" s="1"/>
  <c r="W560" i="7"/>
  <c r="W177" i="7" s="1"/>
  <c r="AZ561" i="7"/>
  <c r="AZ567" i="7" s="1"/>
  <c r="AL560" i="7"/>
  <c r="V560" i="7"/>
  <c r="V177" i="7" s="1"/>
  <c r="AX560" i="7"/>
  <c r="AH560" i="7"/>
  <c r="AT560" i="7"/>
  <c r="AD560" i="7"/>
  <c r="AD177" i="7" s="1"/>
  <c r="Y449" i="7"/>
  <c r="H449" i="7"/>
  <c r="BC527" i="7"/>
  <c r="BC135" i="7" s="1"/>
  <c r="BC144" i="7" s="1"/>
  <c r="AY527" i="7"/>
  <c r="AU527" i="7"/>
  <c r="AQ527" i="7"/>
  <c r="AQ528" i="7" s="1"/>
  <c r="AM527" i="7"/>
  <c r="AI527" i="7"/>
  <c r="AI135" i="7" s="1"/>
  <c r="AI144" i="7" s="1"/>
  <c r="AE527" i="7"/>
  <c r="AE135" i="7" s="1"/>
  <c r="AE144" i="7" s="1"/>
  <c r="AA527" i="7"/>
  <c r="W527" i="7"/>
  <c r="W528" i="7" s="1"/>
  <c r="S527" i="7"/>
  <c r="S135" i="7" s="1"/>
  <c r="S144" i="7" s="1"/>
  <c r="O527" i="7"/>
  <c r="O528" i="7" s="1"/>
  <c r="K527" i="7"/>
  <c r="K135" i="7" s="1"/>
  <c r="K144" i="7" s="1"/>
  <c r="I527" i="7"/>
  <c r="N527" i="7"/>
  <c r="T527" i="7"/>
  <c r="T135" i="7" s="1"/>
  <c r="T144" i="7" s="1"/>
  <c r="Y527" i="7"/>
  <c r="Y528" i="7" s="1"/>
  <c r="AD527" i="7"/>
  <c r="AJ527" i="7"/>
  <c r="AO527" i="7"/>
  <c r="AT527" i="7"/>
  <c r="AT135" i="7" s="1"/>
  <c r="AT144" i="7" s="1"/>
  <c r="AZ527" i="7"/>
  <c r="BE527" i="7"/>
  <c r="Z527" i="7"/>
  <c r="Z135" i="7" s="1"/>
  <c r="Z144" i="7" s="1"/>
  <c r="AF527" i="7"/>
  <c r="AK527" i="7"/>
  <c r="AK135" i="7" s="1"/>
  <c r="AK144" i="7" s="1"/>
  <c r="AP527" i="7"/>
  <c r="AP135" i="7" s="1"/>
  <c r="AP144" i="7" s="1"/>
  <c r="AV527" i="7"/>
  <c r="AV135" i="7" s="1"/>
  <c r="AV144" i="7" s="1"/>
  <c r="BA527" i="7"/>
  <c r="BA135" i="7" s="1"/>
  <c r="BA144" i="7" s="1"/>
  <c r="L527" i="7"/>
  <c r="Q527" i="7"/>
  <c r="V527" i="7"/>
  <c r="V135" i="7" s="1"/>
  <c r="V144" i="7" s="1"/>
  <c r="AB527" i="7"/>
  <c r="AB528" i="7" s="1"/>
  <c r="AG527" i="7"/>
  <c r="AL527" i="7"/>
  <c r="AL528" i="7" s="1"/>
  <c r="AR527" i="7"/>
  <c r="AW527" i="7"/>
  <c r="AW135" i="7" s="1"/>
  <c r="AW144" i="7" s="1"/>
  <c r="BB527" i="7"/>
  <c r="BB135" i="7" s="1"/>
  <c r="BB144" i="7" s="1"/>
  <c r="V539" i="7"/>
  <c r="V176" i="7" s="1"/>
  <c r="Z539" i="7"/>
  <c r="Z541" i="7" s="1"/>
  <c r="AD539" i="7"/>
  <c r="AD176" i="7" s="1"/>
  <c r="AH539" i="7"/>
  <c r="AL539" i="7"/>
  <c r="AP539" i="7"/>
  <c r="AP176" i="7" s="1"/>
  <c r="AT539" i="7"/>
  <c r="AT176" i="7" s="1"/>
  <c r="AX539" i="7"/>
  <c r="AX176" i="7" s="1"/>
  <c r="BB539" i="7"/>
  <c r="BB176" i="7" s="1"/>
  <c r="X540" i="7"/>
  <c r="AB540" i="7"/>
  <c r="AB546" i="7" s="1"/>
  <c r="AF540" i="7"/>
  <c r="AF546" i="7" s="1"/>
  <c r="AJ540" i="7"/>
  <c r="AJ546" i="7" s="1"/>
  <c r="AN540" i="7"/>
  <c r="AR540" i="7"/>
  <c r="AV540" i="7"/>
  <c r="AZ540" i="7"/>
  <c r="AZ546" i="7" s="1"/>
  <c r="X581" i="7"/>
  <c r="X178" i="7" s="1"/>
  <c r="AF581" i="7"/>
  <c r="AF178" i="7" s="1"/>
  <c r="Y581" i="7"/>
  <c r="W582" i="7"/>
  <c r="W588" i="7" s="1"/>
  <c r="AB581" i="7"/>
  <c r="AB582" i="7"/>
  <c r="AB588" i="7" s="1"/>
  <c r="BC603" i="7"/>
  <c r="BC181" i="7" s="1"/>
  <c r="BC190" i="7" s="1"/>
  <c r="AY603" i="7"/>
  <c r="AY181" i="7" s="1"/>
  <c r="AY190" i="7" s="1"/>
  <c r="AU603" i="7"/>
  <c r="AU181" i="7" s="1"/>
  <c r="AU190" i="7" s="1"/>
  <c r="AQ603" i="7"/>
  <c r="AQ181" i="7" s="1"/>
  <c r="AQ190" i="7" s="1"/>
  <c r="AM603" i="7"/>
  <c r="AM604" i="7" s="1"/>
  <c r="AI603" i="7"/>
  <c r="AE603" i="7"/>
  <c r="AE181" i="7" s="1"/>
  <c r="AE190" i="7" s="1"/>
  <c r="AA603" i="7"/>
  <c r="AA604" i="7" s="1"/>
  <c r="W603" i="7"/>
  <c r="W604" i="7" s="1"/>
  <c r="S603" i="7"/>
  <c r="S181" i="7" s="1"/>
  <c r="S190" i="7" s="1"/>
  <c r="O603" i="7"/>
  <c r="K603" i="7"/>
  <c r="K181" i="7" s="1"/>
  <c r="K190" i="7" s="1"/>
  <c r="BB603" i="7"/>
  <c r="BB604" i="7" s="1"/>
  <c r="AX603" i="7"/>
  <c r="AX181" i="7" s="1"/>
  <c r="AX190" i="7" s="1"/>
  <c r="AT603" i="7"/>
  <c r="AT604" i="7" s="1"/>
  <c r="AP603" i="7"/>
  <c r="AL603" i="7"/>
  <c r="AL181" i="7" s="1"/>
  <c r="AL190" i="7" s="1"/>
  <c r="AH603" i="7"/>
  <c r="AH604" i="7" s="1"/>
  <c r="AD603" i="7"/>
  <c r="AD181" i="7" s="1"/>
  <c r="AD190" i="7" s="1"/>
  <c r="Z603" i="7"/>
  <c r="V603" i="7"/>
  <c r="V604" i="7" s="1"/>
  <c r="R603" i="7"/>
  <c r="R181" i="7" s="1"/>
  <c r="R190" i="7" s="1"/>
  <c r="N603" i="7"/>
  <c r="N604" i="7" s="1"/>
  <c r="J603" i="7"/>
  <c r="BE603" i="7"/>
  <c r="BE604" i="7" s="1"/>
  <c r="BA603" i="7"/>
  <c r="AW603" i="7"/>
  <c r="AS603" i="7"/>
  <c r="AO603" i="7"/>
  <c r="AO181" i="7" s="1"/>
  <c r="AO190" i="7" s="1"/>
  <c r="AK603" i="7"/>
  <c r="AK181" i="7" s="1"/>
  <c r="AK190" i="7" s="1"/>
  <c r="AG603" i="7"/>
  <c r="AC603" i="7"/>
  <c r="Y603" i="7"/>
  <c r="U603" i="7"/>
  <c r="Q603" i="7"/>
  <c r="M603" i="7"/>
  <c r="M181" i="7" s="1"/>
  <c r="M190" i="7" s="1"/>
  <c r="I603" i="7"/>
  <c r="I604" i="7" s="1"/>
  <c r="BD603" i="7"/>
  <c r="AN603" i="7"/>
  <c r="X603" i="7"/>
  <c r="H603" i="7"/>
  <c r="H604" i="7" s="1"/>
  <c r="AZ603" i="7"/>
  <c r="AJ603" i="7"/>
  <c r="T603" i="7"/>
  <c r="T604" i="7" s="1"/>
  <c r="AV603" i="7"/>
  <c r="AV181" i="7" s="1"/>
  <c r="AV190" i="7" s="1"/>
  <c r="AF603" i="7"/>
  <c r="P603" i="7"/>
  <c r="AB603" i="7"/>
  <c r="BB582" i="7"/>
  <c r="BB588" i="7" s="1"/>
  <c r="AX582" i="7"/>
  <c r="AT582" i="7"/>
  <c r="AT588" i="7" s="1"/>
  <c r="AP582" i="7"/>
  <c r="AP588" i="7" s="1"/>
  <c r="AL582" i="7"/>
  <c r="AH582" i="7"/>
  <c r="AH588" i="7" s="1"/>
  <c r="AD582" i="7"/>
  <c r="AD588" i="7" s="1"/>
  <c r="Z582" i="7"/>
  <c r="BE582" i="7"/>
  <c r="BE588" i="7" s="1"/>
  <c r="BA582" i="7"/>
  <c r="BA588" i="7" s="1"/>
  <c r="AW582" i="7"/>
  <c r="AW588" i="7" s="1"/>
  <c r="AS582" i="7"/>
  <c r="AS588" i="7" s="1"/>
  <c r="AO582" i="7"/>
  <c r="AO588" i="7" s="1"/>
  <c r="AK582" i="7"/>
  <c r="AK588" i="7" s="1"/>
  <c r="AG582" i="7"/>
  <c r="AG588" i="7" s="1"/>
  <c r="AC582" i="7"/>
  <c r="AC588" i="7" s="1"/>
  <c r="Y582" i="7"/>
  <c r="Y588" i="7" s="1"/>
  <c r="V581" i="7"/>
  <c r="Z581" i="7"/>
  <c r="Z178" i="7" s="1"/>
  <c r="AD581" i="7"/>
  <c r="AD178" i="7" s="1"/>
  <c r="AH581" i="7"/>
  <c r="AL581" i="7"/>
  <c r="AL178" i="7" s="1"/>
  <c r="AP581" i="7"/>
  <c r="AP178" i="7" s="1"/>
  <c r="AT581" i="7"/>
  <c r="AX581" i="7"/>
  <c r="AX178" i="7" s="1"/>
  <c r="BB581" i="7"/>
  <c r="X582" i="7"/>
  <c r="X588" i="7" s="1"/>
  <c r="AF582" i="7"/>
  <c r="AN582" i="7"/>
  <c r="AV582" i="7"/>
  <c r="AV588" i="7" s="1"/>
  <c r="BD582" i="7"/>
  <c r="BD588" i="7" s="1"/>
  <c r="W581" i="7"/>
  <c r="AA581" i="7"/>
  <c r="AA178" i="7" s="1"/>
  <c r="AE581" i="7"/>
  <c r="AE178" i="7" s="1"/>
  <c r="AI581" i="7"/>
  <c r="AI178" i="7" s="1"/>
  <c r="AM581" i="7"/>
  <c r="AM178" i="7" s="1"/>
  <c r="AQ581" i="7"/>
  <c r="AQ178" i="7" s="1"/>
  <c r="AU581" i="7"/>
  <c r="AY581" i="7"/>
  <c r="AY178" i="7" s="1"/>
  <c r="BC581" i="7"/>
  <c r="BC178" i="7" s="1"/>
  <c r="U582" i="7"/>
  <c r="U588" i="7" s="1"/>
  <c r="AA582" i="7"/>
  <c r="AA588" i="7" s="1"/>
  <c r="AI582" i="7"/>
  <c r="AI588" i="7" s="1"/>
  <c r="AQ582" i="7"/>
  <c r="AQ588" i="7" s="1"/>
  <c r="AY582" i="7"/>
  <c r="AY588" i="7" s="1"/>
  <c r="M449" i="7"/>
  <c r="M87" i="7" s="1"/>
  <c r="M96" i="7" s="1"/>
  <c r="AG449" i="7"/>
  <c r="AG450" i="7" s="1"/>
  <c r="AO449" i="7"/>
  <c r="AW449" i="7"/>
  <c r="AW450" i="7" s="1"/>
  <c r="BE449" i="7"/>
  <c r="BE87" i="7" s="1"/>
  <c r="BE96" i="7" s="1"/>
  <c r="BD449" i="7"/>
  <c r="U449" i="7"/>
  <c r="U87" i="7" s="1"/>
  <c r="U96" i="7" s="1"/>
  <c r="AH449" i="7"/>
  <c r="AH87" i="7" s="1"/>
  <c r="AH96" i="7" s="1"/>
  <c r="AP449" i="7"/>
  <c r="AX449" i="7"/>
  <c r="AX450" i="7" s="1"/>
  <c r="Q449" i="7"/>
  <c r="Q87" i="7" s="1"/>
  <c r="Q96" i="7" s="1"/>
  <c r="V449" i="7"/>
  <c r="V87" i="7" s="1"/>
  <c r="V96" i="7" s="1"/>
  <c r="I449" i="7"/>
  <c r="J449" i="7"/>
  <c r="R449" i="7"/>
  <c r="Z449" i="7"/>
  <c r="Z87" i="7" s="1"/>
  <c r="Z96" i="7" s="1"/>
  <c r="K449" i="7"/>
  <c r="K87" i="7" s="1"/>
  <c r="K96" i="7" s="1"/>
  <c r="O449" i="7"/>
  <c r="O87" i="7" s="1"/>
  <c r="O96" i="7" s="1"/>
  <c r="S449" i="7"/>
  <c r="W449" i="7"/>
  <c r="AA449" i="7"/>
  <c r="AA87" i="7" s="1"/>
  <c r="AA96" i="7" s="1"/>
  <c r="AE449" i="7"/>
  <c r="AI449" i="7"/>
  <c r="AM449" i="7"/>
  <c r="AQ449" i="7"/>
  <c r="AU449" i="7"/>
  <c r="AY449" i="7"/>
  <c r="BC449" i="7"/>
  <c r="BC87" i="7" s="1"/>
  <c r="BC96" i="7" s="1"/>
  <c r="N449" i="7"/>
  <c r="L449" i="7"/>
  <c r="P449" i="7"/>
  <c r="T449" i="7"/>
  <c r="X449" i="7"/>
  <c r="X87" i="7" s="1"/>
  <c r="X96" i="7" s="1"/>
  <c r="AB449" i="7"/>
  <c r="AF449" i="7"/>
  <c r="AF87" i="7" s="1"/>
  <c r="AF96" i="7" s="1"/>
  <c r="AJ449" i="7"/>
  <c r="AN449" i="7"/>
  <c r="AN87" i="7" s="1"/>
  <c r="AN96" i="7" s="1"/>
  <c r="AR449" i="7"/>
  <c r="AR87" i="7"/>
  <c r="AR96" i="7" s="1"/>
  <c r="AV449" i="7"/>
  <c r="AZ449" i="7"/>
  <c r="AZ87" i="7" s="1"/>
  <c r="AZ96" i="7" s="1"/>
  <c r="AT485" i="7"/>
  <c r="AT491" i="7" s="1"/>
  <c r="AU485" i="7"/>
  <c r="BD464" i="7"/>
  <c r="AS463" i="7"/>
  <c r="AY463" i="7"/>
  <c r="AO464" i="7"/>
  <c r="AO470" i="7" s="1"/>
  <c r="AT464" i="7"/>
  <c r="AX506" i="7"/>
  <c r="AT506" i="7"/>
  <c r="AT512" i="7" s="1"/>
  <c r="AH506" i="7"/>
  <c r="AH512" i="7" s="1"/>
  <c r="BE506" i="7"/>
  <c r="BE512" i="7" s="1"/>
  <c r="AO506" i="7"/>
  <c r="AJ506" i="7"/>
  <c r="AJ512" i="7" s="1"/>
  <c r="AU505" i="7"/>
  <c r="AQ505" i="7"/>
  <c r="AQ132" i="7" s="1"/>
  <c r="BC506" i="7"/>
  <c r="AW506" i="7"/>
  <c r="AW512" i="7" s="1"/>
  <c r="AG506" i="7"/>
  <c r="AG512" i="7" s="1"/>
  <c r="BE505" i="7"/>
  <c r="AS505" i="7"/>
  <c r="AO505" i="7"/>
  <c r="AO132" i="7" s="1"/>
  <c r="BA506" i="7"/>
  <c r="AQ506" i="7"/>
  <c r="AQ512" i="7" s="1"/>
  <c r="AN505" i="7"/>
  <c r="AN132" i="7" s="1"/>
  <c r="AV506" i="7"/>
  <c r="AV512" i="7" s="1"/>
  <c r="AL505" i="7"/>
  <c r="BD506" i="7"/>
  <c r="BD512" i="7" s="1"/>
  <c r="AR505" i="7"/>
  <c r="AR132" i="7" s="1"/>
  <c r="AH505" i="7"/>
  <c r="AH132" i="7" s="1"/>
  <c r="AT505" i="7"/>
  <c r="AT132" i="7" s="1"/>
  <c r="AS506" i="7"/>
  <c r="AS512" i="7" s="1"/>
  <c r="AP463" i="7"/>
  <c r="AT463" i="7"/>
  <c r="AT130" i="7" s="1"/>
  <c r="AJ464" i="7"/>
  <c r="AJ470" i="7" s="1"/>
  <c r="AN464" i="7"/>
  <c r="AN470" i="7" s="1"/>
  <c r="AZ464" i="7"/>
  <c r="AZ470" i="7" s="1"/>
  <c r="AZ505" i="7"/>
  <c r="AZ132" i="7" s="1"/>
  <c r="AV485" i="7"/>
  <c r="AV491" i="7" s="1"/>
  <c r="H784" i="7"/>
  <c r="H448" i="7"/>
  <c r="H87" i="7" s="1"/>
  <c r="H96" i="7" s="1"/>
  <c r="BA784" i="7"/>
  <c r="AW784" i="7"/>
  <c r="AK784" i="7"/>
  <c r="Y784" i="7"/>
  <c r="U784" i="7"/>
  <c r="I784" i="7"/>
  <c r="BC784" i="7"/>
  <c r="AM784" i="7"/>
  <c r="AH784" i="7"/>
  <c r="AH788" i="7" s="1"/>
  <c r="R784" i="7"/>
  <c r="L784" i="7"/>
  <c r="AU784" i="7"/>
  <c r="AP784" i="7"/>
  <c r="Z784" i="7"/>
  <c r="T784" i="7"/>
  <c r="N784" i="7"/>
  <c r="X784" i="7"/>
  <c r="BD784" i="7"/>
  <c r="AL784" i="7"/>
  <c r="AV784" i="7"/>
  <c r="AF784" i="7"/>
  <c r="AF788" i="7" s="1"/>
  <c r="AQ784" i="7"/>
  <c r="AD406" i="7"/>
  <c r="AN406" i="7"/>
  <c r="AN83" i="7" s="1"/>
  <c r="AY406" i="7"/>
  <c r="AH407" i="7"/>
  <c r="AH413" i="7" s="1"/>
  <c r="AX407" i="7"/>
  <c r="AX413" i="7" s="1"/>
  <c r="AX406" i="7"/>
  <c r="AE406" i="7"/>
  <c r="AE83" i="7" s="1"/>
  <c r="AP406" i="7"/>
  <c r="AZ406" i="7"/>
  <c r="AZ83" i="7" s="1"/>
  <c r="AO407" i="7"/>
  <c r="AO413" i="7" s="1"/>
  <c r="BE407" i="7"/>
  <c r="BE413" i="7" s="1"/>
  <c r="AI406" i="7"/>
  <c r="AT406" i="7"/>
  <c r="AT83" i="7" s="1"/>
  <c r="BD406" i="7"/>
  <c r="AP407" i="7"/>
  <c r="AP413" i="7" s="1"/>
  <c r="AJ406" i="7"/>
  <c r="AJ83" i="7" s="1"/>
  <c r="AU406" i="7"/>
  <c r="AU83" i="7" s="1"/>
  <c r="AG407" i="7"/>
  <c r="AG413" i="7" s="1"/>
  <c r="AW407" i="7"/>
  <c r="AW413" i="7" s="1"/>
  <c r="AF406" i="7"/>
  <c r="AF83" i="7" s="1"/>
  <c r="AL406" i="7"/>
  <c r="AL83" i="7" s="1"/>
  <c r="AQ406" i="7"/>
  <c r="AV406" i="7"/>
  <c r="AV83" i="7" s="1"/>
  <c r="BB406" i="7"/>
  <c r="BB83" i="7" s="1"/>
  <c r="AC407" i="7"/>
  <c r="AC413" i="7" s="1"/>
  <c r="AK407" i="7"/>
  <c r="AK413" i="7" s="1"/>
  <c r="AS407" i="7"/>
  <c r="AS413" i="7" s="1"/>
  <c r="BA407" i="7"/>
  <c r="BA413" i="7" s="1"/>
  <c r="AB406" i="7"/>
  <c r="AB83" i="7" s="1"/>
  <c r="AH406" i="7"/>
  <c r="AH83" i="7" s="1"/>
  <c r="AM406" i="7"/>
  <c r="AM83" i="7" s="1"/>
  <c r="AR406" i="7"/>
  <c r="AR83" i="7" s="1"/>
  <c r="BC406" i="7"/>
  <c r="BC83" i="7" s="1"/>
  <c r="AD407" i="7"/>
  <c r="AD413" i="7" s="1"/>
  <c r="AL407" i="7"/>
  <c r="AL413" i="7" s="1"/>
  <c r="AT407" i="7"/>
  <c r="AT413" i="7" s="1"/>
  <c r="BB407" i="7"/>
  <c r="BB413" i="7" s="1"/>
  <c r="AR427" i="7"/>
  <c r="AR84" i="7" s="1"/>
  <c r="BD386" i="7"/>
  <c r="BD392" i="7" s="1"/>
  <c r="BE386" i="7"/>
  <c r="BA385" i="7"/>
  <c r="BA82" i="7" s="1"/>
  <c r="BB428" i="7"/>
  <c r="BB434" i="7" s="1"/>
  <c r="AX428" i="7"/>
  <c r="AX434" i="7" s="1"/>
  <c r="AX427" i="7"/>
  <c r="AT428" i="7"/>
  <c r="AT434" i="7" s="1"/>
  <c r="AP428" i="7"/>
  <c r="AP434" i="7" s="1"/>
  <c r="AL428" i="7"/>
  <c r="AL434" i="7" s="1"/>
  <c r="AH428" i="7"/>
  <c r="AH434" i="7" s="1"/>
  <c r="AH427" i="7"/>
  <c r="AH84" i="7" s="1"/>
  <c r="AD428" i="7"/>
  <c r="AD434" i="7" s="1"/>
  <c r="BC427" i="7"/>
  <c r="AY427" i="7"/>
  <c r="AY84" i="7" s="1"/>
  <c r="AU427" i="7"/>
  <c r="AU84" i="7" s="1"/>
  <c r="AQ427" i="7"/>
  <c r="AQ84" i="7" s="1"/>
  <c r="AM427" i="7"/>
  <c r="AM84" i="7" s="1"/>
  <c r="AI427" i="7"/>
  <c r="AE427" i="7"/>
  <c r="BE428" i="7"/>
  <c r="BE434" i="7" s="1"/>
  <c r="BA428" i="7"/>
  <c r="BA434" i="7" s="1"/>
  <c r="AW428" i="7"/>
  <c r="AS428" i="7"/>
  <c r="AO428" i="7"/>
  <c r="AO434" i="7" s="1"/>
  <c r="AK428" i="7"/>
  <c r="AK434" i="7" s="1"/>
  <c r="AG428" i="7"/>
  <c r="AG434" i="7" s="1"/>
  <c r="AC428" i="7"/>
  <c r="AC434" i="7" s="1"/>
  <c r="BB427" i="7"/>
  <c r="BB84" i="7" s="1"/>
  <c r="AT427" i="7"/>
  <c r="AT84" i="7" s="1"/>
  <c r="AP427" i="7"/>
  <c r="AP84" i="7" s="1"/>
  <c r="AL427" i="7"/>
  <c r="AL84" i="7" s="1"/>
  <c r="AD427" i="7"/>
  <c r="AD84" i="7" s="1"/>
  <c r="BD428" i="7"/>
  <c r="BD434" i="7" s="1"/>
  <c r="AZ428" i="7"/>
  <c r="AZ434" i="7" s="1"/>
  <c r="AV428" i="7"/>
  <c r="AR428" i="7"/>
  <c r="AR434" i="7" s="1"/>
  <c r="AN428" i="7"/>
  <c r="AN434" i="7" s="1"/>
  <c r="AJ428" i="7"/>
  <c r="AJ434" i="7" s="1"/>
  <c r="AJ427" i="7"/>
  <c r="AF428" i="7"/>
  <c r="AF434" i="7" s="1"/>
  <c r="AB428" i="7"/>
  <c r="AB434" i="7" s="1"/>
  <c r="BE427" i="7"/>
  <c r="BA427" i="7"/>
  <c r="BA84" i="7" s="1"/>
  <c r="AW427" i="7"/>
  <c r="AW84" i="7" s="1"/>
  <c r="AS427" i="7"/>
  <c r="AS84" i="7" s="1"/>
  <c r="AO427" i="7"/>
  <c r="AK427" i="7"/>
  <c r="AK84" i="7" s="1"/>
  <c r="AG427" i="7"/>
  <c r="AG84" i="7" s="1"/>
  <c r="AC427" i="7"/>
  <c r="AC84" i="7" s="1"/>
  <c r="BC428" i="7"/>
  <c r="BC434" i="7" s="1"/>
  <c r="AM428" i="7"/>
  <c r="AM434" i="7" s="1"/>
  <c r="BD427" i="7"/>
  <c r="AN427" i="7"/>
  <c r="AN84" i="7" s="1"/>
  <c r="AY428" i="7"/>
  <c r="AY434" i="7" s="1"/>
  <c r="AI428" i="7"/>
  <c r="AI434" i="7" s="1"/>
  <c r="AZ427" i="7"/>
  <c r="AZ84" i="7" s="1"/>
  <c r="AU428" i="7"/>
  <c r="AU434" i="7" s="1"/>
  <c r="AE428" i="7"/>
  <c r="AE434" i="7" s="1"/>
  <c r="AV427" i="7"/>
  <c r="AV84" i="7" s="1"/>
  <c r="AF427" i="7"/>
  <c r="AB427" i="7"/>
  <c r="AB84" i="7" s="1"/>
  <c r="AQ428" i="7"/>
  <c r="AE407" i="7"/>
  <c r="AI407" i="7"/>
  <c r="AI413" i="7" s="1"/>
  <c r="AM407" i="7"/>
  <c r="AM413" i="7" s="1"/>
  <c r="AQ407" i="7"/>
  <c r="AQ413" i="7" s="1"/>
  <c r="AU407" i="7"/>
  <c r="AU413" i="7" s="1"/>
  <c r="AY407" i="7"/>
  <c r="AY413" i="7" s="1"/>
  <c r="BC407" i="7"/>
  <c r="BC413" i="7" s="1"/>
  <c r="AC406" i="7"/>
  <c r="AC83" i="7" s="1"/>
  <c r="AG406" i="7"/>
  <c r="AG83" i="7" s="1"/>
  <c r="AK406" i="7"/>
  <c r="AK83" i="7" s="1"/>
  <c r="AO406" i="7"/>
  <c r="AO83" i="7" s="1"/>
  <c r="AS406" i="7"/>
  <c r="AS83" i="7" s="1"/>
  <c r="AW406" i="7"/>
  <c r="AW83" i="7" s="1"/>
  <c r="BA406" i="7"/>
  <c r="BA83" i="7" s="1"/>
  <c r="BE406" i="7"/>
  <c r="AB407" i="7"/>
  <c r="AB413" i="7" s="1"/>
  <c r="AF407" i="7"/>
  <c r="AF413" i="7" s="1"/>
  <c r="AJ407" i="7"/>
  <c r="AN407" i="7"/>
  <c r="AN413" i="7" s="1"/>
  <c r="AR407" i="7"/>
  <c r="AR413" i="7" s="1"/>
  <c r="AV407" i="7"/>
  <c r="AZ407" i="7"/>
  <c r="AZ413" i="7" s="1"/>
  <c r="W75" i="4"/>
  <c r="K75" i="4"/>
  <c r="P75" i="4"/>
  <c r="X75" i="4"/>
  <c r="I75" i="4"/>
  <c r="M75" i="4"/>
  <c r="Q75" i="4"/>
  <c r="U75" i="4"/>
  <c r="Y75" i="4"/>
  <c r="J75" i="4"/>
  <c r="N75" i="4"/>
  <c r="R75" i="4"/>
  <c r="V75" i="4"/>
  <c r="Z75" i="4"/>
  <c r="O88" i="1"/>
  <c r="I759" i="7"/>
  <c r="I275" i="7"/>
  <c r="I284" i="7" s="1"/>
  <c r="AL759" i="7"/>
  <c r="AL284" i="7"/>
  <c r="AT275" i="7"/>
  <c r="AT284" i="7" s="1"/>
  <c r="O275" i="7"/>
  <c r="O284" i="7" s="1"/>
  <c r="AN759" i="7"/>
  <c r="AN275" i="7"/>
  <c r="AN284" i="7" s="1"/>
  <c r="AC759" i="7"/>
  <c r="AC275" i="7"/>
  <c r="AC284" i="7" s="1"/>
  <c r="AO759" i="7"/>
  <c r="AO275" i="7"/>
  <c r="AO284" i="7"/>
  <c r="V759" i="7"/>
  <c r="V284" i="7"/>
  <c r="AM275" i="7"/>
  <c r="AM284" i="7" s="1"/>
  <c r="AA275" i="7"/>
  <c r="AA284" i="7" s="1"/>
  <c r="AV275" i="7"/>
  <c r="AV284" i="7" s="1"/>
  <c r="AW284" i="7"/>
  <c r="Q275" i="7"/>
  <c r="Q284" i="7" s="1"/>
  <c r="R275" i="7"/>
  <c r="R284" i="7" s="1"/>
  <c r="AH275" i="7"/>
  <c r="AH284" i="7" s="1"/>
  <c r="AX759" i="7"/>
  <c r="AX275" i="7"/>
  <c r="AX284" i="7" s="1"/>
  <c r="AI284" i="7"/>
  <c r="AY759" i="7"/>
  <c r="AY275" i="7"/>
  <c r="AY284" i="7" s="1"/>
  <c r="BA275" i="7"/>
  <c r="BA284" i="7" s="1"/>
  <c r="AZ666" i="7"/>
  <c r="BC666" i="7"/>
  <c r="AL229" i="7"/>
  <c r="AL238" i="7" s="1"/>
  <c r="AX604" i="7"/>
  <c r="W178" i="7"/>
  <c r="AH181" i="7"/>
  <c r="AH190" i="7" s="1"/>
  <c r="AL135" i="7"/>
  <c r="AL144" i="7" s="1"/>
  <c r="Z528" i="7"/>
  <c r="AE528" i="7"/>
  <c r="AE92" i="7"/>
  <c r="AE640" i="7"/>
  <c r="AA717" i="7"/>
  <c r="AC645" i="7"/>
  <c r="AH717" i="7"/>
  <c r="W717" i="7"/>
  <c r="BC640" i="7"/>
  <c r="AT640" i="7"/>
  <c r="Z640" i="7"/>
  <c r="AZ640" i="7"/>
  <c r="AS562" i="7"/>
  <c r="G369" i="7"/>
  <c r="S50" i="6"/>
  <c r="R50" i="6"/>
  <c r="Q50" i="6"/>
  <c r="P50" i="6"/>
  <c r="O50" i="6"/>
  <c r="S49" i="6"/>
  <c r="R49" i="6"/>
  <c r="Q49" i="6"/>
  <c r="P49" i="6"/>
  <c r="O49" i="6"/>
  <c r="N50" i="6"/>
  <c r="N49" i="6"/>
  <c r="S45" i="6"/>
  <c r="R45" i="6"/>
  <c r="Q45" i="6"/>
  <c r="P45" i="6"/>
  <c r="O45" i="6"/>
  <c r="S44" i="6"/>
  <c r="R44" i="6"/>
  <c r="Q44" i="6"/>
  <c r="P44" i="6"/>
  <c r="O44" i="6"/>
  <c r="N45" i="6"/>
  <c r="G708" i="7"/>
  <c r="H727" i="7" s="1"/>
  <c r="G631" i="7"/>
  <c r="G553" i="7"/>
  <c r="G566" i="7" s="1"/>
  <c r="G568" i="7" s="1"/>
  <c r="H565" i="7" s="1"/>
  <c r="G477" i="7"/>
  <c r="H495" i="7" s="1"/>
  <c r="G399" i="7"/>
  <c r="H418" i="7" s="1"/>
  <c r="O76" i="6"/>
  <c r="G403" i="7" s="1"/>
  <c r="AB419" i="7" s="1"/>
  <c r="AB86" i="7" s="1"/>
  <c r="AB95" i="7" s="1"/>
  <c r="H419" i="7"/>
  <c r="G422" i="7"/>
  <c r="G380" i="7"/>
  <c r="G689" i="7"/>
  <c r="G731" i="7"/>
  <c r="H747" i="7" s="1"/>
  <c r="G458" i="7"/>
  <c r="H406" i="7"/>
  <c r="J407" i="7"/>
  <c r="J413" i="7" s="1"/>
  <c r="K407" i="7"/>
  <c r="K413" i="7" s="1"/>
  <c r="Z406" i="7"/>
  <c r="V407" i="7"/>
  <c r="V413" i="7" s="1"/>
  <c r="N406" i="7"/>
  <c r="N83" i="7" s="1"/>
  <c r="W406" i="7"/>
  <c r="W83" i="7" s="1"/>
  <c r="R407" i="7"/>
  <c r="R413" i="7" s="1"/>
  <c r="AA407" i="7"/>
  <c r="AA413" i="7" s="1"/>
  <c r="I406" i="7"/>
  <c r="I83" i="7" s="1"/>
  <c r="Y406" i="7"/>
  <c r="Y83" i="7" s="1"/>
  <c r="X407" i="7"/>
  <c r="X413" i="7" s="1"/>
  <c r="Z407" i="7"/>
  <c r="Z413" i="7" s="1"/>
  <c r="W407" i="7"/>
  <c r="W413" i="7" s="1"/>
  <c r="Q407" i="7"/>
  <c r="J406" i="7"/>
  <c r="H407" i="7"/>
  <c r="H413" i="7" s="1"/>
  <c r="L406" i="7"/>
  <c r="L83" i="7" s="1"/>
  <c r="M406" i="7"/>
  <c r="M83" i="7" s="1"/>
  <c r="P407" i="7"/>
  <c r="P413" i="7" s="1"/>
  <c r="S407" i="7"/>
  <c r="S406" i="7"/>
  <c r="S83" i="7" s="1"/>
  <c r="I407" i="7"/>
  <c r="N407" i="7"/>
  <c r="N413" i="7" s="1"/>
  <c r="U407" i="7"/>
  <c r="U413" i="7" s="1"/>
  <c r="AA406" i="7"/>
  <c r="Q406" i="7"/>
  <c r="T407" i="7"/>
  <c r="V406" i="7"/>
  <c r="O406" i="7"/>
  <c r="R406" i="7"/>
  <c r="R83" i="7" s="1"/>
  <c r="L407" i="7"/>
  <c r="L413" i="7" s="1"/>
  <c r="P406" i="7"/>
  <c r="P83" i="7" s="1"/>
  <c r="O407" i="7"/>
  <c r="O413" i="7" s="1"/>
  <c r="T406" i="7"/>
  <c r="T408" i="7" s="1"/>
  <c r="X406" i="7"/>
  <c r="X83" i="7" s="1"/>
  <c r="M407" i="7"/>
  <c r="M408" i="7" s="1"/>
  <c r="U406" i="7"/>
  <c r="U83" i="7" s="1"/>
  <c r="K406" i="7"/>
  <c r="Y407" i="7"/>
  <c r="Y413" i="7" s="1"/>
  <c r="AA484" i="7"/>
  <c r="R485" i="7"/>
  <c r="N484" i="7"/>
  <c r="G612" i="7"/>
  <c r="G654" i="7"/>
  <c r="H561" i="7"/>
  <c r="I561" i="7"/>
  <c r="I567" i="7" s="1"/>
  <c r="K560" i="7"/>
  <c r="K177" i="7" s="1"/>
  <c r="Q560" i="7"/>
  <c r="Q177" i="7" s="1"/>
  <c r="N561" i="7"/>
  <c r="N567" i="7" s="1"/>
  <c r="L560" i="7"/>
  <c r="L177" i="7" s="1"/>
  <c r="T560" i="7"/>
  <c r="T177" i="7" s="1"/>
  <c r="R561" i="7"/>
  <c r="R567" i="7" s="1"/>
  <c r="M561" i="7"/>
  <c r="M567" i="7" s="1"/>
  <c r="S561" i="7"/>
  <c r="M560" i="7"/>
  <c r="M177" i="7" s="1"/>
  <c r="J560" i="7"/>
  <c r="L561" i="7"/>
  <c r="L567" i="7" s="1"/>
  <c r="K639" i="7"/>
  <c r="K645" i="7"/>
  <c r="Q639" i="7"/>
  <c r="Q645" i="7" s="1"/>
  <c r="Q638" i="7"/>
  <c r="Q225" i="7" s="1"/>
  <c r="M639" i="7"/>
  <c r="M645" i="7" s="1"/>
  <c r="S639" i="7"/>
  <c r="S645" i="7" s="1"/>
  <c r="I638" i="7"/>
  <c r="I225" i="7" s="1"/>
  <c r="K638" i="7"/>
  <c r="H638" i="7"/>
  <c r="H225" i="7" s="1"/>
  <c r="S638" i="7"/>
  <c r="S225" i="7" s="1"/>
  <c r="T638" i="7"/>
  <c r="T225" i="7" s="1"/>
  <c r="R639" i="7"/>
  <c r="R645" i="7" s="1"/>
  <c r="N638" i="7"/>
  <c r="L639" i="7"/>
  <c r="L645" i="7" s="1"/>
  <c r="O638" i="7"/>
  <c r="O225" i="7" s="1"/>
  <c r="U638" i="7"/>
  <c r="U225" i="7" s="1"/>
  <c r="L638" i="7"/>
  <c r="P638" i="7"/>
  <c r="P225" i="7" s="1"/>
  <c r="V639" i="7"/>
  <c r="V645" i="7" s="1"/>
  <c r="H639" i="7"/>
  <c r="H645" i="7" s="1"/>
  <c r="O639" i="7"/>
  <c r="J639" i="7"/>
  <c r="J645" i="7" s="1"/>
  <c r="R638" i="7"/>
  <c r="R225" i="7" s="1"/>
  <c r="T639" i="7"/>
  <c r="J638" i="7"/>
  <c r="I639" i="7"/>
  <c r="I645" i="7" s="1"/>
  <c r="P639" i="7"/>
  <c r="U639" i="7"/>
  <c r="U645" i="7" s="1"/>
  <c r="M638" i="7"/>
  <c r="M225" i="7" s="1"/>
  <c r="N639" i="7"/>
  <c r="N645" i="7" s="1"/>
  <c r="V638" i="7"/>
  <c r="M716" i="7"/>
  <c r="M722" i="7" s="1"/>
  <c r="O715" i="7"/>
  <c r="O271" i="7" s="1"/>
  <c r="V716" i="7"/>
  <c r="V722" i="7" s="1"/>
  <c r="O716" i="7"/>
  <c r="O722" i="7" s="1"/>
  <c r="V715" i="7"/>
  <c r="T715" i="7"/>
  <c r="H716" i="7"/>
  <c r="H722" i="7" s="1"/>
  <c r="N715" i="7"/>
  <c r="N716" i="7"/>
  <c r="N722" i="7" s="1"/>
  <c r="Q716" i="7"/>
  <c r="Q722" i="7" s="1"/>
  <c r="S715" i="7"/>
  <c r="S271" i="7" s="1"/>
  <c r="T716" i="7"/>
  <c r="T722" i="7" s="1"/>
  <c r="J715" i="7"/>
  <c r="J271" i="7" s="1"/>
  <c r="M715" i="7"/>
  <c r="M271" i="7" s="1"/>
  <c r="H715" i="7"/>
  <c r="K715" i="7"/>
  <c r="K716" i="7"/>
  <c r="K722" i="7" s="1"/>
  <c r="Q715" i="7"/>
  <c r="Q271" i="7" s="1"/>
  <c r="R716" i="7"/>
  <c r="I715" i="7"/>
  <c r="I716" i="7"/>
  <c r="I722" i="7"/>
  <c r="J716" i="7"/>
  <c r="J722" i="7" s="1"/>
  <c r="S716" i="7"/>
  <c r="U715" i="7"/>
  <c r="U271" i="7" s="1"/>
  <c r="L716" i="7"/>
  <c r="L722" i="7" s="1"/>
  <c r="P715" i="7"/>
  <c r="L715" i="7"/>
  <c r="R715" i="7"/>
  <c r="R271" i="7" s="1"/>
  <c r="U716" i="7"/>
  <c r="U722" i="7" s="1"/>
  <c r="P716" i="7"/>
  <c r="P722" i="7" s="1"/>
  <c r="G534" i="7"/>
  <c r="N374" i="7"/>
  <c r="AA374" i="7"/>
  <c r="O618" i="7"/>
  <c r="O624" i="7" s="1"/>
  <c r="J617" i="7"/>
  <c r="J224" i="7" s="1"/>
  <c r="Y506" i="7"/>
  <c r="I506" i="7"/>
  <c r="I512" i="7" s="1"/>
  <c r="S506" i="7"/>
  <c r="S512" i="7" s="1"/>
  <c r="U505" i="7"/>
  <c r="AF506" i="7"/>
  <c r="AF512" i="7" s="1"/>
  <c r="L505" i="7"/>
  <c r="L132" i="7" s="1"/>
  <c r="N505" i="7"/>
  <c r="Q506" i="7"/>
  <c r="K506" i="7"/>
  <c r="AC505" i="7"/>
  <c r="AC132" i="7" s="1"/>
  <c r="T506" i="7"/>
  <c r="T512" i="7" s="1"/>
  <c r="AB505" i="7"/>
  <c r="AB132" i="7" s="1"/>
  <c r="R506" i="7"/>
  <c r="R512" i="7" s="1"/>
  <c r="H506" i="7"/>
  <c r="H505" i="7"/>
  <c r="H132" i="7" s="1"/>
  <c r="U506" i="7"/>
  <c r="U512" i="7" s="1"/>
  <c r="P506" i="7"/>
  <c r="V505" i="7"/>
  <c r="V132" i="7" s="1"/>
  <c r="J506" i="7"/>
  <c r="J512" i="7" s="1"/>
  <c r="X506" i="7"/>
  <c r="X512" i="7" s="1"/>
  <c r="M506" i="7"/>
  <c r="M512" i="7" s="1"/>
  <c r="W505" i="7"/>
  <c r="W132" i="7" s="1"/>
  <c r="R505" i="7"/>
  <c r="R132" i="7" s="1"/>
  <c r="AC506" i="7"/>
  <c r="X505" i="7"/>
  <c r="X132" i="7" s="1"/>
  <c r="P736" i="7"/>
  <c r="P272" i="7" s="1"/>
  <c r="O540" i="7"/>
  <c r="O546" i="7" s="1"/>
  <c r="Q539" i="7"/>
  <c r="N540" i="7"/>
  <c r="N546" i="7" s="1"/>
  <c r="H539" i="7"/>
  <c r="H176" i="7" s="1"/>
  <c r="R539" i="7"/>
  <c r="R176" i="7" s="1"/>
  <c r="P540" i="7"/>
  <c r="P546" i="7" s="1"/>
  <c r="H540" i="7"/>
  <c r="H546" i="7" s="1"/>
  <c r="I540" i="7"/>
  <c r="I546" i="7" s="1"/>
  <c r="P539" i="7"/>
  <c r="P176" i="7" s="1"/>
  <c r="R540" i="7"/>
  <c r="R546" i="7" s="1"/>
  <c r="T539" i="7"/>
  <c r="T176" i="7" s="1"/>
  <c r="J540" i="7"/>
  <c r="J546" i="7" s="1"/>
  <c r="N539" i="7"/>
  <c r="N176" i="7" s="1"/>
  <c r="T540" i="7"/>
  <c r="T546" i="7" s="1"/>
  <c r="I539" i="7"/>
  <c r="K540" i="7"/>
  <c r="K546" i="7" s="1"/>
  <c r="M539" i="7"/>
  <c r="M176" i="7" s="1"/>
  <c r="O539" i="7"/>
  <c r="L540" i="7"/>
  <c r="L546" i="7" s="1"/>
  <c r="M540" i="7"/>
  <c r="M546" i="7" s="1"/>
  <c r="L539" i="7"/>
  <c r="Q540" i="7"/>
  <c r="Q546" i="7" s="1"/>
  <c r="S540" i="7"/>
  <c r="S546" i="7" s="1"/>
  <c r="K539" i="7"/>
  <c r="S539" i="7"/>
  <c r="J539" i="7"/>
  <c r="J176" i="7" s="1"/>
  <c r="K83" i="7"/>
  <c r="T83" i="7"/>
  <c r="R695" i="7"/>
  <c r="Q695" i="7"/>
  <c r="O694" i="7"/>
  <c r="O270" i="7" s="1"/>
  <c r="Q694" i="7"/>
  <c r="U695" i="7"/>
  <c r="U701" i="7" s="1"/>
  <c r="V695" i="7"/>
  <c r="V701" i="7" s="1"/>
  <c r="P694" i="7"/>
  <c r="L694" i="7"/>
  <c r="L270" i="7" s="1"/>
  <c r="H695" i="7"/>
  <c r="T694" i="7"/>
  <c r="T270" i="7" s="1"/>
  <c r="I694" i="7"/>
  <c r="N695" i="7"/>
  <c r="T695" i="7"/>
  <c r="T701" i="7" s="1"/>
  <c r="S694" i="7"/>
  <c r="S270" i="7" s="1"/>
  <c r="M581" i="7"/>
  <c r="M583" i="7" s="1"/>
  <c r="S582" i="7"/>
  <c r="P581" i="7"/>
  <c r="P178" i="7" s="1"/>
  <c r="O582" i="7"/>
  <c r="O588" i="7" s="1"/>
  <c r="T582" i="7"/>
  <c r="T588" i="7" s="1"/>
  <c r="S581" i="7"/>
  <c r="S178" i="7" s="1"/>
  <c r="Q582" i="7"/>
  <c r="K582" i="7"/>
  <c r="K588" i="7" s="1"/>
  <c r="I582" i="7"/>
  <c r="H581" i="7"/>
  <c r="H178" i="7" s="1"/>
  <c r="I581" i="7"/>
  <c r="L581" i="7"/>
  <c r="L178" i="7" s="1"/>
  <c r="R582" i="7"/>
  <c r="R588" i="7" s="1"/>
  <c r="N581" i="7"/>
  <c r="N178" i="7" s="1"/>
  <c r="L582" i="7"/>
  <c r="L588" i="7" s="1"/>
  <c r="O581" i="7"/>
  <c r="N582" i="7"/>
  <c r="T581" i="7"/>
  <c r="H582" i="7"/>
  <c r="H588" i="7" s="1"/>
  <c r="Q581" i="7"/>
  <c r="Q178" i="7" s="1"/>
  <c r="J581" i="7"/>
  <c r="J178" i="7" s="1"/>
  <c r="P582" i="7"/>
  <c r="M582" i="7"/>
  <c r="M588" i="7" s="1"/>
  <c r="J582" i="7"/>
  <c r="J588" i="7" s="1"/>
  <c r="R581" i="7"/>
  <c r="R178" i="7" s="1"/>
  <c r="K581" i="7"/>
  <c r="K660" i="7"/>
  <c r="K666" i="7" s="1"/>
  <c r="K659" i="7"/>
  <c r="I660" i="7"/>
  <c r="I666" i="7" s="1"/>
  <c r="S659" i="7"/>
  <c r="S226" i="7" s="1"/>
  <c r="H659" i="7"/>
  <c r="H226" i="7" s="1"/>
  <c r="Q660" i="7"/>
  <c r="Q666" i="7" s="1"/>
  <c r="V660" i="7"/>
  <c r="V666" i="7" s="1"/>
  <c r="M659" i="7"/>
  <c r="M226" i="7" s="1"/>
  <c r="U659" i="7"/>
  <c r="P659" i="7"/>
  <c r="N660" i="7"/>
  <c r="N666" i="7" s="1"/>
  <c r="T659" i="7"/>
  <c r="Q659" i="7"/>
  <c r="Q226" i="7" s="1"/>
  <c r="V659" i="7"/>
  <c r="V226" i="7" s="1"/>
  <c r="T660" i="7"/>
  <c r="T666" i="7" s="1"/>
  <c r="R660" i="7"/>
  <c r="J660" i="7"/>
  <c r="J666" i="7" s="1"/>
  <c r="J659" i="7"/>
  <c r="L660" i="7"/>
  <c r="O659" i="7"/>
  <c r="R659" i="7"/>
  <c r="R226" i="7" s="1"/>
  <c r="M660" i="7"/>
  <c r="M666" i="7" s="1"/>
  <c r="L659" i="7"/>
  <c r="L226" i="7" s="1"/>
  <c r="N659" i="7"/>
  <c r="N226" i="7" s="1"/>
  <c r="U660" i="7"/>
  <c r="U666" i="7" s="1"/>
  <c r="S660" i="7"/>
  <c r="S666" i="7" s="1"/>
  <c r="O660" i="7"/>
  <c r="O666" i="7" s="1"/>
  <c r="H660" i="7"/>
  <c r="H666" i="7" s="1"/>
  <c r="P660" i="7"/>
  <c r="P666" i="7" s="1"/>
  <c r="I659" i="7"/>
  <c r="I226" i="7" s="1"/>
  <c r="Z464" i="7"/>
  <c r="Z470" i="7" s="1"/>
  <c r="Y464" i="7"/>
  <c r="Y470" i="7" s="1"/>
  <c r="L463" i="7"/>
  <c r="L130" i="7" s="1"/>
  <c r="R464" i="7"/>
  <c r="R470" i="7" s="1"/>
  <c r="Z463" i="7"/>
  <c r="H464" i="7"/>
  <c r="H470" i="7" s="1"/>
  <c r="O463" i="7"/>
  <c r="O130" i="7" s="1"/>
  <c r="I464" i="7"/>
  <c r="I470" i="7" s="1"/>
  <c r="H463" i="7"/>
  <c r="N464" i="7"/>
  <c r="R463" i="7"/>
  <c r="R130" i="7" s="1"/>
  <c r="P464" i="7"/>
  <c r="P470" i="7" s="1"/>
  <c r="AA464" i="7"/>
  <c r="W463" i="7"/>
  <c r="W130" i="7" s="1"/>
  <c r="U463" i="7"/>
  <c r="U130" i="7" s="1"/>
  <c r="N463" i="7"/>
  <c r="N130" i="7" s="1"/>
  <c r="P463" i="7"/>
  <c r="W464" i="7"/>
  <c r="W470" i="7" s="1"/>
  <c r="I463" i="7"/>
  <c r="S463" i="7"/>
  <c r="S130" i="7" s="1"/>
  <c r="AB464" i="7"/>
  <c r="AB470" i="7" s="1"/>
  <c r="M464" i="7"/>
  <c r="M470" i="7" s="1"/>
  <c r="AB463" i="7"/>
  <c r="AB130" i="7" s="1"/>
  <c r="AD463" i="7"/>
  <c r="AD130" i="7" s="1"/>
  <c r="AA463" i="7"/>
  <c r="AA130" i="7" s="1"/>
  <c r="AD464" i="7"/>
  <c r="AD470" i="7" s="1"/>
  <c r="Z385" i="7"/>
  <c r="Z82" i="7" s="1"/>
  <c r="H385" i="7"/>
  <c r="H427" i="7"/>
  <c r="H84" i="7" s="1"/>
  <c r="J428" i="7"/>
  <c r="J434" i="7" s="1"/>
  <c r="W428" i="7"/>
  <c r="L428" i="7"/>
  <c r="L434" i="7" s="1"/>
  <c r="I427" i="7"/>
  <c r="I84" i="7" s="1"/>
  <c r="R428" i="7"/>
  <c r="R434" i="7" s="1"/>
  <c r="K427" i="7"/>
  <c r="U427" i="7"/>
  <c r="U84" i="7" s="1"/>
  <c r="K374" i="7"/>
  <c r="P374" i="7"/>
  <c r="AE374" i="7"/>
  <c r="T374" i="7"/>
  <c r="AD374" i="7"/>
  <c r="AH374" i="7"/>
  <c r="J374" i="7"/>
  <c r="W374" i="7"/>
  <c r="V49" i="8"/>
  <c r="G299" i="4"/>
  <c r="I178" i="7"/>
  <c r="I358" i="7"/>
  <c r="T358" i="7"/>
  <c r="H358" i="7"/>
  <c r="F845" i="7"/>
  <c r="F844" i="7"/>
  <c r="G844" i="7"/>
  <c r="D838" i="7"/>
  <c r="AH840" i="7" s="1"/>
  <c r="BB840" i="7"/>
  <c r="BB844" i="7" s="1"/>
  <c r="C836" i="7"/>
  <c r="F831" i="7"/>
  <c r="F830" i="7"/>
  <c r="G830" i="7"/>
  <c r="D824" i="7"/>
  <c r="C822" i="7"/>
  <c r="F817" i="7"/>
  <c r="F816" i="7"/>
  <c r="G816" i="7"/>
  <c r="D810" i="7"/>
  <c r="AW812" i="7" s="1"/>
  <c r="C808" i="7"/>
  <c r="S90" i="6"/>
  <c r="R90" i="6"/>
  <c r="Q90" i="6"/>
  <c r="P90" i="6"/>
  <c r="O90" i="6"/>
  <c r="N90" i="6"/>
  <c r="S58" i="6"/>
  <c r="R58" i="6"/>
  <c r="Q58" i="6"/>
  <c r="P58" i="6"/>
  <c r="O58" i="6"/>
  <c r="N58" i="6"/>
  <c r="S27" i="6"/>
  <c r="R27" i="6"/>
  <c r="Q27" i="6"/>
  <c r="P27" i="6"/>
  <c r="O27" i="6"/>
  <c r="N27" i="6"/>
  <c r="L316" i="7"/>
  <c r="I316" i="7"/>
  <c r="S316" i="7"/>
  <c r="BE337" i="7"/>
  <c r="AW337" i="7"/>
  <c r="AC337" i="7"/>
  <c r="AV337" i="7"/>
  <c r="AQ337" i="7"/>
  <c r="AA337" i="7"/>
  <c r="P337" i="7"/>
  <c r="K337" i="7"/>
  <c r="AZ337" i="7"/>
  <c r="AM337" i="7"/>
  <c r="AE337" i="7"/>
  <c r="AU337" i="7"/>
  <c r="AB337" i="7"/>
  <c r="T337" i="7"/>
  <c r="AY337" i="7"/>
  <c r="AD337" i="7"/>
  <c r="W337" i="7"/>
  <c r="H337" i="7"/>
  <c r="AP798" i="7"/>
  <c r="AP802" i="7" s="1"/>
  <c r="Z798" i="7"/>
  <c r="J798" i="7"/>
  <c r="W798" i="7"/>
  <c r="AZ798" i="7"/>
  <c r="AJ798" i="7"/>
  <c r="O798" i="7"/>
  <c r="AK798" i="7"/>
  <c r="AS798" i="7"/>
  <c r="AS802" i="7" s="1"/>
  <c r="M798" i="7"/>
  <c r="M802" i="7" s="1"/>
  <c r="U798" i="7"/>
  <c r="BE812" i="7"/>
  <c r="BA812" i="7"/>
  <c r="AS812" i="7"/>
  <c r="AO812" i="7"/>
  <c r="AK812" i="7"/>
  <c r="BC812" i="7"/>
  <c r="AX812" i="7"/>
  <c r="AR812" i="7"/>
  <c r="AH812" i="7"/>
  <c r="AC812" i="7"/>
  <c r="Y812" i="7"/>
  <c r="U812" i="7"/>
  <c r="Q812" i="7"/>
  <c r="I812" i="7"/>
  <c r="AZ812" i="7"/>
  <c r="AU812" i="7"/>
  <c r="AJ812" i="7"/>
  <c r="AE812" i="7"/>
  <c r="AA812" i="7"/>
  <c r="S812" i="7"/>
  <c r="O812" i="7"/>
  <c r="K812" i="7"/>
  <c r="AV812" i="7"/>
  <c r="AL812" i="7"/>
  <c r="T812" i="7"/>
  <c r="L812" i="7"/>
  <c r="BB812" i="7"/>
  <c r="AQ812" i="7"/>
  <c r="AF812" i="7"/>
  <c r="P812" i="7"/>
  <c r="H812" i="7"/>
  <c r="AT812" i="7"/>
  <c r="J812" i="7"/>
  <c r="AN812" i="7"/>
  <c r="V812" i="7"/>
  <c r="BD812" i="7"/>
  <c r="AI812" i="7"/>
  <c r="AY812" i="7"/>
  <c r="AD812" i="7"/>
  <c r="N812" i="7"/>
  <c r="AD826" i="7"/>
  <c r="AE826" i="7"/>
  <c r="AX840" i="7"/>
  <c r="AP840" i="7"/>
  <c r="AP844" i="7" s="1"/>
  <c r="Z840" i="7"/>
  <c r="R840" i="7"/>
  <c r="J840" i="7"/>
  <c r="AM840" i="7"/>
  <c r="AB840" i="7"/>
  <c r="Q840" i="7"/>
  <c r="AO840" i="7"/>
  <c r="AA840" i="7"/>
  <c r="M840" i="7"/>
  <c r="AE840" i="7"/>
  <c r="P840" i="7"/>
  <c r="AU840" i="7"/>
  <c r="AU844" i="7" s="1"/>
  <c r="AN840" i="7"/>
  <c r="K840" i="7"/>
  <c r="AC840" i="7"/>
  <c r="O840" i="7"/>
  <c r="H840" i="7"/>
  <c r="G817" i="7"/>
  <c r="V817" i="7" s="1"/>
  <c r="G845" i="7"/>
  <c r="G831" i="7"/>
  <c r="AM831" i="7" s="1"/>
  <c r="AC316" i="7"/>
  <c r="AM316" i="7"/>
  <c r="AN316" i="7"/>
  <c r="AY831" i="7"/>
  <c r="T831" i="7"/>
  <c r="BA831" i="7"/>
  <c r="M831" i="7"/>
  <c r="T165" i="4"/>
  <c r="Y165" i="4"/>
  <c r="W165" i="4"/>
  <c r="V165" i="4"/>
  <c r="AA165" i="4"/>
  <c r="X165" i="4"/>
  <c r="S165" i="4"/>
  <c r="Z165" i="4"/>
  <c r="T316" i="7"/>
  <c r="U337" i="7"/>
  <c r="AR316" i="7"/>
  <c r="R165" i="4"/>
  <c r="M165" i="4"/>
  <c r="P165" i="4"/>
  <c r="L165" i="4"/>
  <c r="J165" i="4"/>
  <c r="N165" i="4"/>
  <c r="Q165" i="4"/>
  <c r="S76" i="6"/>
  <c r="G712" i="7"/>
  <c r="R728" i="7"/>
  <c r="R274" i="7" s="1"/>
  <c r="R283" i="7" s="1"/>
  <c r="R76" i="6"/>
  <c r="G635" i="7" s="1"/>
  <c r="AZ651" i="7" s="1"/>
  <c r="AZ228" i="7" s="1"/>
  <c r="AZ237" i="7" s="1"/>
  <c r="Q76" i="6"/>
  <c r="G557" i="7"/>
  <c r="W573" i="7" s="1"/>
  <c r="W180" i="7" s="1"/>
  <c r="W189" i="7" s="1"/>
  <c r="P76" i="6"/>
  <c r="G481" i="7" s="1"/>
  <c r="AT497" i="7" s="1"/>
  <c r="AT134" i="7" s="1"/>
  <c r="AT143" i="7" s="1"/>
  <c r="AB651" i="7"/>
  <c r="AB228" i="7" s="1"/>
  <c r="AB237" i="7" s="1"/>
  <c r="AC651" i="7"/>
  <c r="AC228" i="7" s="1"/>
  <c r="AC237" i="7" s="1"/>
  <c r="AQ651" i="7"/>
  <c r="AQ228" i="7" s="1"/>
  <c r="AQ237" i="7" s="1"/>
  <c r="AD651" i="7"/>
  <c r="AD228" i="7" s="1"/>
  <c r="AD237" i="7" s="1"/>
  <c r="Y651" i="7"/>
  <c r="Y228" i="7" s="1"/>
  <c r="Y237" i="7" s="1"/>
  <c r="AL651" i="7"/>
  <c r="AL228" i="7" s="1"/>
  <c r="AL237" i="7" s="1"/>
  <c r="AX651" i="7"/>
  <c r="AX228" i="7" s="1"/>
  <c r="AX237" i="7" s="1"/>
  <c r="BE651" i="7"/>
  <c r="BE228" i="7" s="1"/>
  <c r="BE237" i="7" s="1"/>
  <c r="AG651" i="7"/>
  <c r="AG228" i="7" s="1"/>
  <c r="AG237" i="7" s="1"/>
  <c r="X651" i="7"/>
  <c r="X228" i="7" s="1"/>
  <c r="X237" i="7" s="1"/>
  <c r="AU651" i="7"/>
  <c r="AU228" i="7" s="1"/>
  <c r="AU237" i="7" s="1"/>
  <c r="AT651" i="7"/>
  <c r="AT228" i="7" s="1"/>
  <c r="AT237" i="7" s="1"/>
  <c r="BD651" i="7"/>
  <c r="BD228" i="7" s="1"/>
  <c r="BD237" i="7" s="1"/>
  <c r="I651" i="7"/>
  <c r="I228" i="7" s="1"/>
  <c r="I237" i="7" s="1"/>
  <c r="L651" i="7"/>
  <c r="L228" i="7" s="1"/>
  <c r="L237" i="7" s="1"/>
  <c r="M651" i="7"/>
  <c r="M228" i="7" s="1"/>
  <c r="M237" i="7" s="1"/>
  <c r="P651" i="7"/>
  <c r="P228" i="7" s="1"/>
  <c r="P237" i="7" s="1"/>
  <c r="AH419" i="7"/>
  <c r="AH86" i="7"/>
  <c r="AH95" i="7" s="1"/>
  <c r="BD419" i="7"/>
  <c r="BD86" i="7" s="1"/>
  <c r="BD95" i="7" s="1"/>
  <c r="AG419" i="7"/>
  <c r="AG86" i="7" s="1"/>
  <c r="AG95" i="7" s="1"/>
  <c r="J419" i="7"/>
  <c r="J86" i="7" s="1"/>
  <c r="J95" i="7" s="1"/>
  <c r="K419" i="7"/>
  <c r="K86" i="7" s="1"/>
  <c r="K95" i="7" s="1"/>
  <c r="BE728" i="7"/>
  <c r="BE274" i="7" s="1"/>
  <c r="BE283" i="7" s="1"/>
  <c r="AA728" i="7"/>
  <c r="AA274" i="7" s="1"/>
  <c r="AA283" i="7" s="1"/>
  <c r="AD728" i="7"/>
  <c r="AD274" i="7" s="1"/>
  <c r="AD283" i="7" s="1"/>
  <c r="AY728" i="7"/>
  <c r="AY274" i="7" s="1"/>
  <c r="AJ728" i="7"/>
  <c r="AJ274" i="7" s="1"/>
  <c r="AJ283" i="7" s="1"/>
  <c r="AQ728" i="7"/>
  <c r="AQ274" i="7" s="1"/>
  <c r="AQ283" i="7" s="1"/>
  <c r="AM728" i="7"/>
  <c r="AM274" i="7" s="1"/>
  <c r="AM283" i="7" s="1"/>
  <c r="AG728" i="7"/>
  <c r="AG274" i="7" s="1"/>
  <c r="AG283" i="7" s="1"/>
  <c r="AW728" i="7"/>
  <c r="AW274" i="7" s="1"/>
  <c r="AW283" i="7" s="1"/>
  <c r="X728" i="7"/>
  <c r="X274" i="7" s="1"/>
  <c r="X283" i="7" s="1"/>
  <c r="AT728" i="7"/>
  <c r="AT274" i="7" s="1"/>
  <c r="AT283" i="7" s="1"/>
  <c r="AE728" i="7"/>
  <c r="AE274" i="7" s="1"/>
  <c r="AE283" i="7" s="1"/>
  <c r="AZ728" i="7"/>
  <c r="AZ274" i="7" s="1"/>
  <c r="AZ283" i="7" s="1"/>
  <c r="AH728" i="7"/>
  <c r="AH274" i="7" s="1"/>
  <c r="AH283" i="7" s="1"/>
  <c r="BC728" i="7"/>
  <c r="BC274" i="7" s="1"/>
  <c r="BC283" i="7" s="1"/>
  <c r="AC728" i="7"/>
  <c r="AC274" i="7" s="1"/>
  <c r="AC283" i="7" s="1"/>
  <c r="AS728" i="7"/>
  <c r="AS274" i="7" s="1"/>
  <c r="AS283" i="7" s="1"/>
  <c r="AN728" i="7"/>
  <c r="AN274" i="7" s="1"/>
  <c r="AN283" i="7" s="1"/>
  <c r="AU728" i="7"/>
  <c r="AU274" i="7" s="1"/>
  <c r="AU283" i="7" s="1"/>
  <c r="AX728" i="7"/>
  <c r="AX274" i="7" s="1"/>
  <c r="AX283" i="7" s="1"/>
  <c r="BA728" i="7"/>
  <c r="BA274" i="7" s="1"/>
  <c r="BA283" i="7" s="1"/>
  <c r="Z728" i="7"/>
  <c r="Z274" i="7" s="1"/>
  <c r="Z283" i="7" s="1"/>
  <c r="BB728" i="7"/>
  <c r="BB274" i="7" s="1"/>
  <c r="BB283" i="7" s="1"/>
  <c r="AB728" i="7"/>
  <c r="AB274" i="7" s="1"/>
  <c r="AB283" i="7" s="1"/>
  <c r="AK728" i="7"/>
  <c r="AK274" i="7" s="1"/>
  <c r="AK283" i="7" s="1"/>
  <c r="AF728" i="7"/>
  <c r="AF274" i="7" s="1"/>
  <c r="AF283" i="7" s="1"/>
  <c r="AP728" i="7"/>
  <c r="AP274" i="7" s="1"/>
  <c r="AP283" i="7" s="1"/>
  <c r="W728" i="7"/>
  <c r="W274" i="7" s="1"/>
  <c r="W283" i="7" s="1"/>
  <c r="AI728" i="7"/>
  <c r="AI274" i="7"/>
  <c r="AI283" i="7" s="1"/>
  <c r="AO728" i="7"/>
  <c r="AO274" i="7" s="1"/>
  <c r="AO283" i="7" s="1"/>
  <c r="AL728" i="7"/>
  <c r="AL274" i="7" s="1"/>
  <c r="AL283" i="7" s="1"/>
  <c r="BD728" i="7"/>
  <c r="BD274" i="7" s="1"/>
  <c r="BD283" i="7" s="1"/>
  <c r="AR728" i="7"/>
  <c r="AR274" i="7" s="1"/>
  <c r="AR283" i="7" s="1"/>
  <c r="Y728" i="7"/>
  <c r="Y274" i="7" s="1"/>
  <c r="Y283" i="7" s="1"/>
  <c r="AV728" i="7"/>
  <c r="AV274" i="7" s="1"/>
  <c r="AV283" i="7" s="1"/>
  <c r="I728" i="7"/>
  <c r="I274" i="7" s="1"/>
  <c r="I283" i="7" s="1"/>
  <c r="H728" i="7"/>
  <c r="J728" i="7"/>
  <c r="J274" i="7" s="1"/>
  <c r="J283" i="7" s="1"/>
  <c r="K728" i="7"/>
  <c r="K274" i="7" s="1"/>
  <c r="K283" i="7" s="1"/>
  <c r="L728" i="7"/>
  <c r="L274" i="7" s="1"/>
  <c r="L283" i="7" s="1"/>
  <c r="M728" i="7"/>
  <c r="M274" i="7" s="1"/>
  <c r="M283" i="7" s="1"/>
  <c r="N728" i="7"/>
  <c r="N274" i="7" s="1"/>
  <c r="N283" i="7" s="1"/>
  <c r="O728" i="7"/>
  <c r="O274" i="7" s="1"/>
  <c r="O283" i="7" s="1"/>
  <c r="P728" i="7"/>
  <c r="P274" i="7" s="1"/>
  <c r="P283" i="7" s="1"/>
  <c r="Q728" i="7"/>
  <c r="Q274" i="7" s="1"/>
  <c r="Q283" i="7" s="1"/>
  <c r="AL497" i="7"/>
  <c r="AL134" i="7" s="1"/>
  <c r="AL143" i="7" s="1"/>
  <c r="AV497" i="7"/>
  <c r="AV134" i="7" s="1"/>
  <c r="AV143" i="7" s="1"/>
  <c r="AR497" i="7"/>
  <c r="AR134" i="7" s="1"/>
  <c r="AR143" i="7" s="1"/>
  <c r="BE497" i="7"/>
  <c r="BE134" i="7" s="1"/>
  <c r="BE143" i="7" s="1"/>
  <c r="BB497" i="7"/>
  <c r="BB134" i="7" s="1"/>
  <c r="BB143" i="7" s="1"/>
  <c r="AM497" i="7"/>
  <c r="AM134" i="7" s="1"/>
  <c r="AM143" i="7" s="1"/>
  <c r="L497" i="7"/>
  <c r="L134" i="7" s="1"/>
  <c r="L143" i="7" s="1"/>
  <c r="M497" i="7"/>
  <c r="M134" i="7" s="1"/>
  <c r="M143" i="7" s="1"/>
  <c r="BA573" i="7"/>
  <c r="BA180" i="7" s="1"/>
  <c r="BA189" i="7" s="1"/>
  <c r="AE573" i="7"/>
  <c r="AE180" i="7" s="1"/>
  <c r="AE189" i="7" s="1"/>
  <c r="N573" i="7"/>
  <c r="N180" i="7" s="1"/>
  <c r="N189" i="7" s="1"/>
  <c r="P497" i="7"/>
  <c r="P134" i="7" s="1"/>
  <c r="P143" i="7" s="1"/>
  <c r="S728" i="7"/>
  <c r="S274" i="7" s="1"/>
  <c r="S283" i="7" s="1"/>
  <c r="S419" i="7"/>
  <c r="S86" i="7" s="1"/>
  <c r="S95" i="7" s="1"/>
  <c r="T728" i="7"/>
  <c r="T274" i="7" s="1"/>
  <c r="T283" i="7" s="1"/>
  <c r="T651" i="7"/>
  <c r="T228" i="7" s="1"/>
  <c r="T237" i="7" s="1"/>
  <c r="U728" i="7"/>
  <c r="U274" i="7" s="1"/>
  <c r="U283" i="7" s="1"/>
  <c r="U651" i="7"/>
  <c r="U228" i="7" s="1"/>
  <c r="U237" i="7" s="1"/>
  <c r="V728" i="7"/>
  <c r="V274" i="7" s="1"/>
  <c r="V283" i="7" s="1"/>
  <c r="V651" i="7"/>
  <c r="V228" i="7" s="1"/>
  <c r="V237" i="7" s="1"/>
  <c r="S93" i="6"/>
  <c r="R93" i="6"/>
  <c r="Q93" i="6"/>
  <c r="P93" i="6"/>
  <c r="N93" i="6"/>
  <c r="O93" i="6"/>
  <c r="T497" i="7"/>
  <c r="T134" i="7" s="1"/>
  <c r="T143" i="7" s="1"/>
  <c r="U497" i="7"/>
  <c r="U134" i="7" s="1"/>
  <c r="U143" i="7" s="1"/>
  <c r="AA419" i="7"/>
  <c r="AA86" i="7"/>
  <c r="AA95" i="7" s="1"/>
  <c r="Y497" i="7"/>
  <c r="Y134" i="7" s="1"/>
  <c r="Y143" i="7" s="1"/>
  <c r="AA497" i="7"/>
  <c r="AA134" i="7" s="1"/>
  <c r="AA143" i="7" s="1"/>
  <c r="AB497" i="7"/>
  <c r="AB134" i="7" s="1"/>
  <c r="AB143" i="7" s="1"/>
  <c r="AE497" i="7"/>
  <c r="AE134" i="7" s="1"/>
  <c r="AE143" i="7" s="1"/>
  <c r="AM844" i="7"/>
  <c r="Q270" i="7"/>
  <c r="AO844" i="7"/>
  <c r="AN844" i="7"/>
  <c r="O844" i="7"/>
  <c r="AX845" i="7"/>
  <c r="AA844" i="7"/>
  <c r="AN845" i="7"/>
  <c r="AD845" i="7"/>
  <c r="AC845" i="7"/>
  <c r="AW845" i="7"/>
  <c r="AJ181" i="7"/>
  <c r="AJ190" i="7" s="1"/>
  <c r="AJ604" i="7"/>
  <c r="AE604" i="7"/>
  <c r="AR450" i="7"/>
  <c r="S640" i="7"/>
  <c r="H438" i="7"/>
  <c r="G412" i="7"/>
  <c r="G414" i="7" s="1"/>
  <c r="H411" i="7" s="1"/>
  <c r="H414" i="7" s="1"/>
  <c r="I411" i="7" s="1"/>
  <c r="AB87" i="7"/>
  <c r="AB96" i="7" s="1"/>
  <c r="AB450" i="7"/>
  <c r="L87" i="7"/>
  <c r="L96" i="7" s="1"/>
  <c r="L450" i="7"/>
  <c r="AU87" i="7"/>
  <c r="AU96" i="7" s="1"/>
  <c r="AU450" i="7"/>
  <c r="AE87" i="7"/>
  <c r="AE96" i="7" s="1"/>
  <c r="AE450" i="7"/>
  <c r="J87" i="7"/>
  <c r="J96" i="7" s="1"/>
  <c r="J450" i="7"/>
  <c r="AG87" i="7"/>
  <c r="AG96" i="7" s="1"/>
  <c r="AA583" i="7"/>
  <c r="BB181" i="7"/>
  <c r="BB190" i="7" s="1"/>
  <c r="AH176" i="7"/>
  <c r="S528" i="7"/>
  <c r="AG661" i="7"/>
  <c r="AG226" i="7"/>
  <c r="AM789" i="7"/>
  <c r="Q789" i="7"/>
  <c r="AO789" i="7"/>
  <c r="M789" i="7"/>
  <c r="AU789" i="7"/>
  <c r="AZ789" i="7"/>
  <c r="AP789" i="7"/>
  <c r="AW789" i="7"/>
  <c r="AC789" i="7"/>
  <c r="BD789" i="7"/>
  <c r="S789" i="7"/>
  <c r="X789" i="7"/>
  <c r="AX789" i="7"/>
  <c r="AG789" i="7"/>
  <c r="K789" i="7"/>
  <c r="AF789" i="7"/>
  <c r="H789" i="7"/>
  <c r="P789" i="7"/>
  <c r="AT789" i="7"/>
  <c r="AY789" i="7"/>
  <c r="AR789" i="7"/>
  <c r="AV789" i="7"/>
  <c r="AY816" i="7"/>
  <c r="H571" i="7"/>
  <c r="T413" i="7"/>
  <c r="AP528" i="7"/>
  <c r="AD604" i="7"/>
  <c r="V181" i="7"/>
  <c r="V190" i="7" s="1"/>
  <c r="AX682" i="7"/>
  <c r="AZ229" i="7"/>
  <c r="AZ238" i="7" s="1"/>
  <c r="AZ682" i="7"/>
  <c r="AH661" i="7"/>
  <c r="W226" i="7"/>
  <c r="BC271" i="7"/>
  <c r="AW645" i="7"/>
  <c r="G202" i="4"/>
  <c r="G202" i="17"/>
  <c r="G221" i="4"/>
  <c r="G221" i="17"/>
  <c r="G203" i="4"/>
  <c r="G203" i="17"/>
  <c r="G222" i="4"/>
  <c r="G222" i="17"/>
  <c r="D202" i="8"/>
  <c r="X154" i="4"/>
  <c r="AK358" i="7"/>
  <c r="W154" i="4"/>
  <c r="M154" i="4"/>
  <c r="J262" i="7"/>
  <c r="N262" i="7"/>
  <c r="R262" i="7"/>
  <c r="V262" i="7"/>
  <c r="AD262" i="7"/>
  <c r="AH262" i="7"/>
  <c r="AL262" i="7"/>
  <c r="AT262" i="7"/>
  <c r="AX262" i="7"/>
  <c r="BB262" i="7"/>
  <c r="AM262" i="7"/>
  <c r="AQ840" i="7"/>
  <c r="AQ275" i="7"/>
  <c r="AQ284" i="7" s="1"/>
  <c r="AJ840" i="7"/>
  <c r="AJ844" i="7" s="1"/>
  <c r="AY840" i="7"/>
  <c r="AY844" i="7"/>
  <c r="BE840" i="7"/>
  <c r="BE844" i="7" s="1"/>
  <c r="Y840" i="7"/>
  <c r="Y844" i="7"/>
  <c r="BA840" i="7"/>
  <c r="AF840" i="7"/>
  <c r="AF844" i="7" s="1"/>
  <c r="I840" i="7"/>
  <c r="I844" i="7"/>
  <c r="X840" i="7"/>
  <c r="X844" i="7" s="1"/>
  <c r="AK840" i="7"/>
  <c r="AK844" i="7"/>
  <c r="AZ840" i="7"/>
  <c r="AZ844" i="7" s="1"/>
  <c r="T840" i="7"/>
  <c r="T844" i="7"/>
  <c r="AI840" i="7"/>
  <c r="AI844" i="7" s="1"/>
  <c r="AV840" i="7"/>
  <c r="AV844" i="7"/>
  <c r="L840" i="7"/>
  <c r="L844" i="7" s="1"/>
  <c r="W840" i="7"/>
  <c r="W844" i="7"/>
  <c r="AG840" i="7"/>
  <c r="AG844" i="7" s="1"/>
  <c r="AR840" i="7"/>
  <c r="AR844" i="7"/>
  <c r="BC840" i="7"/>
  <c r="BC844" i="7" s="1"/>
  <c r="N840" i="7"/>
  <c r="N844" i="7"/>
  <c r="V840" i="7"/>
  <c r="V844" i="7" s="1"/>
  <c r="AD840" i="7"/>
  <c r="AD844" i="7"/>
  <c r="AL840" i="7"/>
  <c r="AT840" i="7"/>
  <c r="AT844" i="7" s="1"/>
  <c r="L216" i="7"/>
  <c r="P826" i="7"/>
  <c r="P830" i="7" s="1"/>
  <c r="U216" i="7"/>
  <c r="M216" i="7"/>
  <c r="I218" i="7"/>
  <c r="BD216" i="7"/>
  <c r="AO826" i="7"/>
  <c r="AO830" i="7" s="1"/>
  <c r="M168" i="7"/>
  <c r="AC168" i="7"/>
  <c r="AS168" i="7"/>
  <c r="BA168" i="7"/>
  <c r="I167" i="7"/>
  <c r="I166" i="7" s="1"/>
  <c r="I169" i="7"/>
  <c r="I168" i="7"/>
  <c r="Q168" i="7"/>
  <c r="Y168" i="7"/>
  <c r="AG168" i="7"/>
  <c r="AO168" i="7"/>
  <c r="AW168" i="7"/>
  <c r="BE168" i="7"/>
  <c r="I170" i="7"/>
  <c r="AP168" i="7"/>
  <c r="H798" i="7"/>
  <c r="H802" i="7" s="1"/>
  <c r="AV798" i="7"/>
  <c r="AO798" i="7"/>
  <c r="AB798" i="7"/>
  <c r="N798" i="7"/>
  <c r="AT798" i="7"/>
  <c r="AA122" i="7"/>
  <c r="BC798" i="7"/>
  <c r="X798" i="7"/>
  <c r="X802" i="7" s="1"/>
  <c r="S798" i="7"/>
  <c r="S802" i="7" s="1"/>
  <c r="AY798" i="7"/>
  <c r="AQ798" i="7"/>
  <c r="P798" i="7"/>
  <c r="P802" i="7" s="1"/>
  <c r="Y798" i="7"/>
  <c r="Y802" i="7" s="1"/>
  <c r="AU798" i="7"/>
  <c r="L798" i="7"/>
  <c r="AG798" i="7"/>
  <c r="AG802" i="7" s="1"/>
  <c r="AW798" i="7"/>
  <c r="R798" i="7"/>
  <c r="AH798" i="7"/>
  <c r="AH802" i="7" s="1"/>
  <c r="AX798" i="7"/>
  <c r="AX802" i="7" s="1"/>
  <c r="AJ122" i="7"/>
  <c r="BC122" i="7"/>
  <c r="AM122" i="7"/>
  <c r="W122" i="7"/>
  <c r="AN798" i="7"/>
  <c r="AF798" i="7"/>
  <c r="BD798" i="7"/>
  <c r="BD802" i="7" s="1"/>
  <c r="T798" i="7"/>
  <c r="T802" i="7" s="1"/>
  <c r="BE798" i="7"/>
  <c r="AR798" i="7"/>
  <c r="AD798" i="7"/>
  <c r="AD802" i="7" s="1"/>
  <c r="AQ122" i="7"/>
  <c r="AC798" i="7"/>
  <c r="K798" i="7"/>
  <c r="BA798" i="7"/>
  <c r="BA802" i="7"/>
  <c r="AI798" i="7"/>
  <c r="AA798" i="7"/>
  <c r="I798" i="7"/>
  <c r="I802" i="7" s="1"/>
  <c r="AE798" i="7"/>
  <c r="AE802" i="7" s="1"/>
  <c r="Q798" i="7"/>
  <c r="AM798" i="7"/>
  <c r="V798" i="7"/>
  <c r="AL798" i="7"/>
  <c r="AL802" i="7" s="1"/>
  <c r="BB784" i="7"/>
  <c r="K784" i="7"/>
  <c r="K788" i="7"/>
  <c r="P784" i="7"/>
  <c r="AI784" i="7"/>
  <c r="O784" i="7"/>
  <c r="AJ784" i="7"/>
  <c r="AB784" i="7"/>
  <c r="AX784" i="7"/>
  <c r="Q784" i="7"/>
  <c r="AG784" i="7"/>
  <c r="AS784" i="7"/>
  <c r="AD784" i="7"/>
  <c r="AV74" i="7"/>
  <c r="AF74" i="7"/>
  <c r="T74" i="7"/>
  <c r="H74" i="7"/>
  <c r="AY74" i="7"/>
  <c r="AE74" i="7"/>
  <c r="AA74" i="7"/>
  <c r="V784" i="7"/>
  <c r="AA784" i="7"/>
  <c r="AT784" i="7"/>
  <c r="J784" i="7"/>
  <c r="AE784" i="7"/>
  <c r="AZ784" i="7"/>
  <c r="W784" i="7"/>
  <c r="AR784" i="7"/>
  <c r="M784" i="7"/>
  <c r="AC784" i="7"/>
  <c r="AO784" i="7"/>
  <c r="W87" i="7"/>
  <c r="W96" i="7" s="1"/>
  <c r="W450" i="7"/>
  <c r="V450" i="7"/>
  <c r="AW87" i="7"/>
  <c r="AW96" i="7" s="1"/>
  <c r="Q83" i="7"/>
  <c r="H788" i="7"/>
  <c r="H790" i="7" s="1"/>
  <c r="H80" i="7" s="1"/>
  <c r="AO788" i="7"/>
  <c r="I788" i="7"/>
  <c r="AM788" i="7"/>
  <c r="AM790" i="7" s="1"/>
  <c r="AM80" i="7" s="1"/>
  <c r="T788" i="7"/>
  <c r="BB788" i="7"/>
  <c r="BA788" i="7"/>
  <c r="N788" i="7"/>
  <c r="AU788" i="7"/>
  <c r="AU790" i="7" s="1"/>
  <c r="AU80" i="7" s="1"/>
  <c r="J83" i="7"/>
  <c r="L802" i="7"/>
  <c r="BB802" i="7"/>
  <c r="J802" i="7"/>
  <c r="AJ802" i="7"/>
  <c r="O802" i="7"/>
  <c r="U802" i="7"/>
  <c r="R802" i="7"/>
  <c r="W802" i="7"/>
  <c r="AL132" i="7"/>
  <c r="BD470" i="7"/>
  <c r="U528" i="7"/>
  <c r="AH507" i="7"/>
  <c r="P817" i="7"/>
  <c r="AL177" i="7"/>
  <c r="AM177" i="7"/>
  <c r="AN588" i="7"/>
  <c r="BB178" i="7"/>
  <c r="AB178" i="7"/>
  <c r="BE181" i="7"/>
  <c r="BE190" i="7" s="1"/>
  <c r="T181" i="7"/>
  <c r="T190" i="7" s="1"/>
  <c r="M640" i="7"/>
  <c r="AO666" i="7"/>
  <c r="T682" i="7"/>
  <c r="T229" i="7"/>
  <c r="T238" i="7" s="1"/>
  <c r="M682" i="7"/>
  <c r="AS645" i="7"/>
  <c r="AY661" i="7"/>
  <c r="I640" i="7"/>
  <c r="AU645" i="7"/>
  <c r="R640" i="7"/>
  <c r="K225" i="7"/>
  <c r="AB226" i="7"/>
  <c r="U229" i="7"/>
  <c r="U238" i="7" s="1"/>
  <c r="R701" i="7"/>
  <c r="AL717" i="7"/>
  <c r="BD275" i="7"/>
  <c r="BD284" i="7" s="1"/>
  <c r="H271" i="7"/>
  <c r="U275" i="7"/>
  <c r="U284" i="7" s="1"/>
  <c r="X722" i="7"/>
  <c r="H274" i="7"/>
  <c r="H283" i="7" s="1"/>
  <c r="AU717" i="7"/>
  <c r="AX271" i="7"/>
  <c r="J717" i="7"/>
  <c r="AE717" i="7"/>
  <c r="AQ759" i="7"/>
  <c r="P759" i="7"/>
  <c r="AP717" i="7"/>
  <c r="N275" i="7"/>
  <c r="N284" i="7" s="1"/>
  <c r="T759" i="7"/>
  <c r="AF358" i="7"/>
  <c r="AB374" i="7"/>
  <c r="AC358" i="7"/>
  <c r="BB316" i="7"/>
  <c r="AL316" i="7"/>
  <c r="J337" i="7"/>
  <c r="L337" i="7"/>
  <c r="G776" i="7"/>
  <c r="J358" i="7"/>
  <c r="BE316" i="7"/>
  <c r="L374" i="7"/>
  <c r="AG374" i="7"/>
  <c r="AX337" i="7"/>
  <c r="R337" i="7"/>
  <c r="S374" i="7"/>
  <c r="G288" i="4"/>
  <c r="G290" i="4" s="1"/>
  <c r="H287" i="4" s="1"/>
  <c r="AN846" i="7"/>
  <c r="AN268" i="7" s="1"/>
  <c r="S41" i="8"/>
  <c r="AA347" i="4"/>
  <c r="V41" i="8"/>
  <c r="C394" i="18"/>
  <c r="C559" i="18"/>
  <c r="C393" i="18"/>
  <c r="C476" i="18"/>
  <c r="C397" i="18"/>
  <c r="C624" i="18"/>
  <c r="C563" i="18"/>
  <c r="C628" i="18"/>
  <c r="C565" i="18"/>
  <c r="C398" i="18"/>
  <c r="C566" i="18"/>
  <c r="C630" i="18"/>
  <c r="C562" i="18"/>
  <c r="C626" i="18"/>
  <c r="C395" i="18"/>
  <c r="C399" i="18"/>
  <c r="C477" i="18"/>
  <c r="L63" i="16"/>
  <c r="V162" i="8"/>
  <c r="W64" i="4"/>
  <c r="N64" i="4"/>
  <c r="L68" i="16"/>
  <c r="P64" i="4" l="1"/>
  <c r="X64" i="4"/>
  <c r="S154" i="4"/>
  <c r="K359" i="17"/>
  <c r="R110" i="17"/>
  <c r="R148" i="17" s="1"/>
  <c r="U373" i="17"/>
  <c r="U377" i="17" s="1"/>
  <c r="K373" i="17"/>
  <c r="Q64" i="4"/>
  <c r="Z64" i="4"/>
  <c r="BB387" i="7"/>
  <c r="AY87" i="7"/>
  <c r="AY96" i="7" s="1"/>
  <c r="AY450" i="7"/>
  <c r="R87" i="7"/>
  <c r="R96" i="7" s="1"/>
  <c r="R450" i="7"/>
  <c r="AM588" i="7"/>
  <c r="AM583" i="7"/>
  <c r="AB168" i="7"/>
  <c r="AY168" i="7"/>
  <c r="I123" i="7"/>
  <c r="I121" i="7"/>
  <c r="I120" i="7" s="1"/>
  <c r="I122" i="7"/>
  <c r="I124" i="7"/>
  <c r="AE262" i="7"/>
  <c r="AI262" i="7"/>
  <c r="AS484" i="7"/>
  <c r="AS131" i="7" s="1"/>
  <c r="AW485" i="7"/>
  <c r="AW491" i="7" s="1"/>
  <c r="AN484" i="7"/>
  <c r="AN131" i="7" s="1"/>
  <c r="AI485" i="7"/>
  <c r="AI491" i="7" s="1"/>
  <c r="AY485" i="7"/>
  <c r="AY491" i="7" s="1"/>
  <c r="AL485" i="7"/>
  <c r="AL491" i="7" s="1"/>
  <c r="AK484" i="7"/>
  <c r="AK131" i="7" s="1"/>
  <c r="AQ484" i="7"/>
  <c r="AQ131" i="7" s="1"/>
  <c r="BC485" i="7"/>
  <c r="BC491" i="7" s="1"/>
  <c r="AH485" i="7"/>
  <c r="AM484" i="7"/>
  <c r="AP485" i="7"/>
  <c r="AP491" i="7" s="1"/>
  <c r="AU484" i="7"/>
  <c r="AU131" i="7" s="1"/>
  <c r="AP484" i="7"/>
  <c r="AP131" i="7" s="1"/>
  <c r="AJ485" i="7"/>
  <c r="AJ491" i="7" s="1"/>
  <c r="AZ485" i="7"/>
  <c r="AZ491" i="7" s="1"/>
  <c r="U484" i="7"/>
  <c r="U486" i="7" s="1"/>
  <c r="K484" i="7"/>
  <c r="Z485" i="7"/>
  <c r="Z491" i="7" s="1"/>
  <c r="I484" i="7"/>
  <c r="I131" i="7" s="1"/>
  <c r="Z484" i="7"/>
  <c r="Z486" i="7" s="1"/>
  <c r="V485" i="7"/>
  <c r="V491" i="7" s="1"/>
  <c r="T484" i="7"/>
  <c r="P485" i="7"/>
  <c r="P491" i="7" s="1"/>
  <c r="U485" i="7"/>
  <c r="U491" i="7" s="1"/>
  <c r="W485" i="7"/>
  <c r="W491" i="7" s="1"/>
  <c r="J485" i="7"/>
  <c r="V484" i="7"/>
  <c r="AD484" i="7"/>
  <c r="AD131" i="7" s="1"/>
  <c r="BB485" i="7"/>
  <c r="BB491" i="7" s="1"/>
  <c r="BE485" i="7"/>
  <c r="BD484" i="7"/>
  <c r="BD131" i="7" s="1"/>
  <c r="AI484" i="7"/>
  <c r="AI131" i="7" s="1"/>
  <c r="BA484" i="7"/>
  <c r="AX485" i="7"/>
  <c r="AX491" i="7" s="1"/>
  <c r="BC484" i="7"/>
  <c r="BC131" i="7" s="1"/>
  <c r="AG484" i="7"/>
  <c r="AG131" i="7" s="1"/>
  <c r="AK485" i="7"/>
  <c r="AK491" i="7" s="1"/>
  <c r="AO484" i="7"/>
  <c r="AT484" i="7"/>
  <c r="AT131" i="7" s="1"/>
  <c r="AN485" i="7"/>
  <c r="AN491" i="7" s="1"/>
  <c r="K485" i="7"/>
  <c r="K491" i="7" s="1"/>
  <c r="AB484" i="7"/>
  <c r="AB131" i="7" s="1"/>
  <c r="S484" i="7"/>
  <c r="M485" i="7"/>
  <c r="M491" i="7" s="1"/>
  <c r="H485" i="7"/>
  <c r="H491" i="7" s="1"/>
  <c r="S485" i="7"/>
  <c r="S491" i="7" s="1"/>
  <c r="L484" i="7"/>
  <c r="L131" i="7" s="1"/>
  <c r="N485" i="7"/>
  <c r="N491" i="7" s="1"/>
  <c r="AB485" i="7"/>
  <c r="AB491" i="7" s="1"/>
  <c r="T485" i="7"/>
  <c r="T491" i="7" s="1"/>
  <c r="L485" i="7"/>
  <c r="L491" i="7" s="1"/>
  <c r="AG485" i="7"/>
  <c r="AG491" i="7" s="1"/>
  <c r="AW484" i="7"/>
  <c r="AW131" i="7" s="1"/>
  <c r="BE484" i="7"/>
  <c r="BE131" i="7" s="1"/>
  <c r="AX484" i="7"/>
  <c r="AX131" i="7" s="1"/>
  <c r="AC484" i="7"/>
  <c r="AC131" i="7" s="1"/>
  <c r="AF484" i="7"/>
  <c r="X485" i="7"/>
  <c r="X491" i="7" s="1"/>
  <c r="O485" i="7"/>
  <c r="O491" i="7" s="1"/>
  <c r="AD485" i="7"/>
  <c r="P484" i="7"/>
  <c r="AQ485" i="7"/>
  <c r="AQ491" i="7" s="1"/>
  <c r="AR484" i="7"/>
  <c r="AR131" i="7" s="1"/>
  <c r="AZ484" i="7"/>
  <c r="AZ131" i="7" s="1"/>
  <c r="BB484" i="7"/>
  <c r="AC485" i="7"/>
  <c r="AC491" i="7" s="1"/>
  <c r="AE484" i="7"/>
  <c r="AE486" i="7" s="1"/>
  <c r="Y485" i="7"/>
  <c r="Y491" i="7" s="1"/>
  <c r="R484" i="7"/>
  <c r="R131" i="7" s="1"/>
  <c r="I485" i="7"/>
  <c r="I491" i="7" s="1"/>
  <c r="Q484" i="7"/>
  <c r="Q131" i="7" s="1"/>
  <c r="AU618" i="7"/>
  <c r="AU619" i="7" s="1"/>
  <c r="AQ617" i="7"/>
  <c r="AQ224" i="7" s="1"/>
  <c r="AB617" i="7"/>
  <c r="AB224" i="7" s="1"/>
  <c r="BD618" i="7"/>
  <c r="BD624" i="7" s="1"/>
  <c r="AV617" i="7"/>
  <c r="AV224" i="7" s="1"/>
  <c r="AC617" i="7"/>
  <c r="AD618" i="7"/>
  <c r="AM617" i="7"/>
  <c r="AM224" i="7" s="1"/>
  <c r="AP618" i="7"/>
  <c r="AP624" i="7" s="1"/>
  <c r="AR617" i="7"/>
  <c r="AR224" i="7" s="1"/>
  <c r="Y617" i="7"/>
  <c r="AO617" i="7"/>
  <c r="AA618" i="7"/>
  <c r="AA624" i="7" s="1"/>
  <c r="AQ618" i="7"/>
  <c r="AQ624" i="7" s="1"/>
  <c r="W617" i="7"/>
  <c r="BD617" i="7"/>
  <c r="AT618" i="7"/>
  <c r="AT624" i="7" s="1"/>
  <c r="Y618" i="7"/>
  <c r="Y624" i="7" s="1"/>
  <c r="AN617" i="7"/>
  <c r="AN224" i="7" s="1"/>
  <c r="AZ618" i="7"/>
  <c r="AZ624" i="7" s="1"/>
  <c r="W618" i="7"/>
  <c r="W624" i="7" s="1"/>
  <c r="AF617" i="7"/>
  <c r="AF224" i="7" s="1"/>
  <c r="AI618" i="7"/>
  <c r="AI624" i="7" s="1"/>
  <c r="AK617" i="7"/>
  <c r="AK224" i="7" s="1"/>
  <c r="AE617" i="7"/>
  <c r="AE224" i="7" s="1"/>
  <c r="AU617" i="7"/>
  <c r="AU224" i="7" s="1"/>
  <c r="AG618" i="7"/>
  <c r="AG624" i="7" s="1"/>
  <c r="AW617" i="7"/>
  <c r="AE618" i="7"/>
  <c r="AE624" i="7" s="1"/>
  <c r="AA617" i="7"/>
  <c r="AS617" i="7"/>
  <c r="AY617" i="7"/>
  <c r="AY224" i="7" s="1"/>
  <c r="BE617" i="7"/>
  <c r="BE224" i="7" s="1"/>
  <c r="BA618" i="7"/>
  <c r="BA624" i="7" s="1"/>
  <c r="AL617" i="7"/>
  <c r="AL224" i="7" s="1"/>
  <c r="BB617" i="7"/>
  <c r="BB619" i="7" s="1"/>
  <c r="AF618" i="7"/>
  <c r="AF624" i="7" s="1"/>
  <c r="AV618" i="7"/>
  <c r="AV624" i="7" s="1"/>
  <c r="U618" i="7"/>
  <c r="U624" i="7" s="1"/>
  <c r="S618" i="7"/>
  <c r="S624" i="7" s="1"/>
  <c r="L617" i="7"/>
  <c r="Q618" i="7"/>
  <c r="Q624" i="7" s="1"/>
  <c r="L618" i="7"/>
  <c r="L624" i="7" s="1"/>
  <c r="I618" i="7"/>
  <c r="N617" i="7"/>
  <c r="N619" i="7" s="1"/>
  <c r="T618" i="7"/>
  <c r="AH618" i="7"/>
  <c r="AH624" i="7" s="1"/>
  <c r="AO618" i="7"/>
  <c r="AO624" i="7" s="1"/>
  <c r="AW618" i="7"/>
  <c r="AW624" i="7" s="1"/>
  <c r="BC617" i="7"/>
  <c r="BC224" i="7" s="1"/>
  <c r="AS618" i="7"/>
  <c r="AS624" i="7" s="1"/>
  <c r="X617" i="7"/>
  <c r="X619" i="7" s="1"/>
  <c r="AI617" i="7"/>
  <c r="AI619" i="7" s="1"/>
  <c r="BC618" i="7"/>
  <c r="Z617" i="7"/>
  <c r="AP617" i="7"/>
  <c r="AP224" i="7" s="1"/>
  <c r="X618" i="7"/>
  <c r="X624" i="7" s="1"/>
  <c r="AJ618" i="7"/>
  <c r="AJ624" i="7" s="1"/>
  <c r="BB618" i="7"/>
  <c r="BB624" i="7" s="1"/>
  <c r="R618" i="7"/>
  <c r="T617" i="7"/>
  <c r="T224" i="7" s="1"/>
  <c r="R617" i="7"/>
  <c r="R224" i="7" s="1"/>
  <c r="M617" i="7"/>
  <c r="K617" i="7"/>
  <c r="K619" i="7" s="1"/>
  <c r="K618" i="7"/>
  <c r="K624" i="7" s="1"/>
  <c r="O617" i="7"/>
  <c r="O224" i="7" s="1"/>
  <c r="AG617" i="7"/>
  <c r="AC618" i="7"/>
  <c r="AC624" i="7" s="1"/>
  <c r="AJ617" i="7"/>
  <c r="AJ619" i="7" s="1"/>
  <c r="AY618" i="7"/>
  <c r="AY624" i="7" s="1"/>
  <c r="AT617" i="7"/>
  <c r="AN618" i="7"/>
  <c r="AN624" i="7" s="1"/>
  <c r="P617" i="7"/>
  <c r="P224" i="7" s="1"/>
  <c r="S617" i="7"/>
  <c r="S224" i="7" s="1"/>
  <c r="V617" i="7"/>
  <c r="H618" i="7"/>
  <c r="H624" i="7" s="1"/>
  <c r="AK618" i="7"/>
  <c r="AK624" i="7" s="1"/>
  <c r="Z618" i="7"/>
  <c r="Z624" i="7" s="1"/>
  <c r="AZ617" i="7"/>
  <c r="BE618" i="7"/>
  <c r="BE624" i="7" s="1"/>
  <c r="AX617" i="7"/>
  <c r="AX224" i="7" s="1"/>
  <c r="AR618" i="7"/>
  <c r="J618" i="7"/>
  <c r="J624" i="7" s="1"/>
  <c r="V618" i="7"/>
  <c r="V624" i="7" s="1"/>
  <c r="M618" i="7"/>
  <c r="M624" i="7" s="1"/>
  <c r="AY28" i="7"/>
  <c r="AQ28" i="7"/>
  <c r="AI28" i="7"/>
  <c r="AA28" i="7"/>
  <c r="S28" i="7"/>
  <c r="K28" i="7"/>
  <c r="I129" i="4"/>
  <c r="I165" i="4"/>
  <c r="S373" i="4"/>
  <c r="AA373" i="4"/>
  <c r="AA377" i="4" s="1"/>
  <c r="AA379" i="4" s="1"/>
  <c r="AA116" i="4" s="1"/>
  <c r="I373" i="4"/>
  <c r="I377" i="4" s="1"/>
  <c r="O373" i="4"/>
  <c r="O377" i="4" s="1"/>
  <c r="O379" i="4" s="1"/>
  <c r="O116" i="4" s="1"/>
  <c r="O158" i="4" s="1"/>
  <c r="O181" i="4" s="1"/>
  <c r="Z373" i="4"/>
  <c r="Y373" i="4"/>
  <c r="K316" i="4"/>
  <c r="K122" i="4" s="1"/>
  <c r="K130" i="4" s="1"/>
  <c r="Q316" i="4"/>
  <c r="Q122" i="4" s="1"/>
  <c r="Q130" i="4" s="1"/>
  <c r="R316" i="4"/>
  <c r="R122" i="4" s="1"/>
  <c r="R130" i="4" s="1"/>
  <c r="T316" i="4"/>
  <c r="T122" i="4" s="1"/>
  <c r="U316" i="4"/>
  <c r="U122" i="4" s="1"/>
  <c r="J316" i="4"/>
  <c r="J122" i="4" s="1"/>
  <c r="J130" i="4" s="1"/>
  <c r="Z316" i="4"/>
  <c r="Z122" i="4" s="1"/>
  <c r="AQ135" i="7"/>
  <c r="AQ144" i="7" s="1"/>
  <c r="S573" i="7"/>
  <c r="S180" i="7" s="1"/>
  <c r="S189" i="7" s="1"/>
  <c r="AR573" i="7"/>
  <c r="AR180" i="7" s="1"/>
  <c r="AR189" i="7" s="1"/>
  <c r="AL573" i="7"/>
  <c r="AL180" i="7" s="1"/>
  <c r="AL189" i="7" s="1"/>
  <c r="S826" i="7"/>
  <c r="S830" i="7" s="1"/>
  <c r="Q826" i="7"/>
  <c r="BD826" i="7"/>
  <c r="AZ826" i="7"/>
  <c r="AZ830" i="7" s="1"/>
  <c r="Y826" i="7"/>
  <c r="Y830" i="7" s="1"/>
  <c r="AL826" i="7"/>
  <c r="AL830" i="7" s="1"/>
  <c r="AC826" i="7"/>
  <c r="AY826" i="7"/>
  <c r="AU826" i="7"/>
  <c r="AU830" i="7" s="1"/>
  <c r="AW826" i="7"/>
  <c r="AW830" i="7" s="1"/>
  <c r="AV826" i="7"/>
  <c r="AV830" i="7" s="1"/>
  <c r="M385" i="7"/>
  <c r="R736" i="7"/>
  <c r="R272" i="7" s="1"/>
  <c r="P618" i="7"/>
  <c r="P624" i="7" s="1"/>
  <c r="Y484" i="7"/>
  <c r="Y131" i="7" s="1"/>
  <c r="J484" i="7"/>
  <c r="J131" i="7" s="1"/>
  <c r="AH385" i="7"/>
  <c r="AH82" i="7" s="1"/>
  <c r="AR485" i="7"/>
  <c r="AR491" i="7" s="1"/>
  <c r="AV484" i="7"/>
  <c r="AV131" i="7" s="1"/>
  <c r="AB618" i="7"/>
  <c r="AB624" i="7" s="1"/>
  <c r="BE722" i="7"/>
  <c r="BE717" i="7"/>
  <c r="Q216" i="7"/>
  <c r="AG216" i="7"/>
  <c r="P262" i="7"/>
  <c r="T262" i="7"/>
  <c r="V41" i="7"/>
  <c r="V50" i="7" s="1"/>
  <c r="V374" i="7"/>
  <c r="X39" i="17"/>
  <c r="X75" i="17"/>
  <c r="I39" i="17"/>
  <c r="I75" i="17"/>
  <c r="AA39" i="4"/>
  <c r="AA75" i="4"/>
  <c r="T39" i="4"/>
  <c r="T75" i="4"/>
  <c r="L39" i="4"/>
  <c r="L75" i="4"/>
  <c r="AA129" i="17"/>
  <c r="AA165" i="17"/>
  <c r="W129" i="17"/>
  <c r="W165" i="17"/>
  <c r="U129" i="4"/>
  <c r="U165" i="4"/>
  <c r="Q128" i="4"/>
  <c r="Q154" i="4"/>
  <c r="K129" i="4"/>
  <c r="K165" i="4"/>
  <c r="G277" i="17"/>
  <c r="K282" i="17" s="1"/>
  <c r="K118" i="17" s="1"/>
  <c r="K162" i="17" s="1"/>
  <c r="V38" i="8"/>
  <c r="G279" i="4" s="1"/>
  <c r="AT528" i="7"/>
  <c r="AF826" i="7"/>
  <c r="AF830" i="7" s="1"/>
  <c r="M826" i="7"/>
  <c r="M830" i="7" s="1"/>
  <c r="M832" i="7" s="1"/>
  <c r="M222" i="7" s="1"/>
  <c r="V497" i="7"/>
  <c r="V134" i="7" s="1"/>
  <c r="V143" i="7" s="1"/>
  <c r="W419" i="7"/>
  <c r="W86" i="7" s="1"/>
  <c r="W95" i="7" s="1"/>
  <c r="U419" i="7"/>
  <c r="U86" i="7" s="1"/>
  <c r="T573" i="7"/>
  <c r="T180" i="7" s="1"/>
  <c r="T189" i="7" s="1"/>
  <c r="R573" i="7"/>
  <c r="R180" i="7" s="1"/>
  <c r="R189" i="7" s="1"/>
  <c r="H573" i="7"/>
  <c r="AJ497" i="7"/>
  <c r="AJ134" i="7" s="1"/>
  <c r="AJ143" i="7" s="1"/>
  <c r="AU419" i="7"/>
  <c r="AU86" i="7" s="1"/>
  <c r="AU95" i="7" s="1"/>
  <c r="Q830" i="7"/>
  <c r="BD830" i="7"/>
  <c r="AC830" i="7"/>
  <c r="G832" i="7"/>
  <c r="AD830" i="7"/>
  <c r="AA385" i="7"/>
  <c r="AA82" i="7" s="1"/>
  <c r="V385" i="7"/>
  <c r="V82" i="7" s="1"/>
  <c r="W385" i="7"/>
  <c r="N736" i="7"/>
  <c r="N272" i="7" s="1"/>
  <c r="S736" i="7"/>
  <c r="S738" i="7" s="1"/>
  <c r="I617" i="7"/>
  <c r="I224" i="7" s="1"/>
  <c r="Q617" i="7"/>
  <c r="Q619" i="7" s="1"/>
  <c r="AA485" i="7"/>
  <c r="AA491" i="7" s="1"/>
  <c r="X484" i="7"/>
  <c r="X131" i="7" s="1"/>
  <c r="W484" i="7"/>
  <c r="W131" i="7" s="1"/>
  <c r="AE485" i="7"/>
  <c r="AE491" i="7" s="1"/>
  <c r="BD385" i="7"/>
  <c r="BD82" i="7" s="1"/>
  <c r="AW385" i="7"/>
  <c r="AW82" i="7" s="1"/>
  <c r="AL484" i="7"/>
  <c r="AL486" i="7" s="1"/>
  <c r="AM485" i="7"/>
  <c r="AM491" i="7" s="1"/>
  <c r="Y450" i="7"/>
  <c r="Y87" i="7"/>
  <c r="Y96" i="7" s="1"/>
  <c r="BC177" i="7"/>
  <c r="AY484" i="7"/>
  <c r="AY131" i="7" s="1"/>
  <c r="AG229" i="7"/>
  <c r="AG238" i="7" s="1"/>
  <c r="AS229" i="7"/>
  <c r="AS238" i="7" s="1"/>
  <c r="AS682" i="7"/>
  <c r="AA682" i="7"/>
  <c r="AA229" i="7"/>
  <c r="AA238" i="7" s="1"/>
  <c r="AI661" i="7"/>
  <c r="AH617" i="7"/>
  <c r="AH224" i="7" s="1"/>
  <c r="AQ736" i="7"/>
  <c r="AL737" i="7"/>
  <c r="AL743" i="7" s="1"/>
  <c r="AX618" i="7"/>
  <c r="AX624" i="7" s="1"/>
  <c r="AB74" i="7"/>
  <c r="AL74" i="7"/>
  <c r="AU122" i="7"/>
  <c r="AX122" i="7"/>
  <c r="BA122" i="7"/>
  <c r="AQ374" i="7"/>
  <c r="AQ41" i="7"/>
  <c r="AW573" i="7"/>
  <c r="AW180" i="7" s="1"/>
  <c r="AW189" i="7" s="1"/>
  <c r="Z573" i="7"/>
  <c r="Z180" i="7" s="1"/>
  <c r="Z189" i="7" s="1"/>
  <c r="AI573" i="7"/>
  <c r="AI180" i="7" s="1"/>
  <c r="AI189" i="7" s="1"/>
  <c r="AG573" i="7"/>
  <c r="AG180" i="7" s="1"/>
  <c r="AG189" i="7" s="1"/>
  <c r="BC573" i="7"/>
  <c r="BC180" i="7" s="1"/>
  <c r="BC189" i="7" s="1"/>
  <c r="AS573" i="7"/>
  <c r="AS180" i="7" s="1"/>
  <c r="AS189" i="7" s="1"/>
  <c r="AA573" i="7"/>
  <c r="AA180" i="7" s="1"/>
  <c r="AA189" i="7" s="1"/>
  <c r="AU573" i="7"/>
  <c r="AU180" i="7" s="1"/>
  <c r="AU189" i="7" s="1"/>
  <c r="AP573" i="7"/>
  <c r="AP180" i="7" s="1"/>
  <c r="AP189" i="7" s="1"/>
  <c r="BE573" i="7"/>
  <c r="BE180" i="7" s="1"/>
  <c r="BE189" i="7" s="1"/>
  <c r="AT573" i="7"/>
  <c r="AT180" i="7" s="1"/>
  <c r="AT189" i="7" s="1"/>
  <c r="AV573" i="7"/>
  <c r="AV180" i="7" s="1"/>
  <c r="AV189" i="7" s="1"/>
  <c r="U573" i="7"/>
  <c r="U180" i="7" s="1"/>
  <c r="U189" i="7" s="1"/>
  <c r="V573" i="7"/>
  <c r="V180" i="7" s="1"/>
  <c r="V189" i="7" s="1"/>
  <c r="AM573" i="7"/>
  <c r="AM180" i="7" s="1"/>
  <c r="AM189" i="7" s="1"/>
  <c r="BD573" i="7"/>
  <c r="BD180" i="7" s="1"/>
  <c r="BD189" i="7" s="1"/>
  <c r="AN573" i="7"/>
  <c r="AN180" i="7" s="1"/>
  <c r="AN189" i="7" s="1"/>
  <c r="AK573" i="7"/>
  <c r="AK180" i="7" s="1"/>
  <c r="AK189" i="7" s="1"/>
  <c r="AO573" i="7"/>
  <c r="AO180" i="7" s="1"/>
  <c r="AO189" i="7" s="1"/>
  <c r="AF573" i="7"/>
  <c r="AF180" i="7" s="1"/>
  <c r="AF189" i="7" s="1"/>
  <c r="AZ573" i="7"/>
  <c r="AZ180" i="7" s="1"/>
  <c r="AZ189" i="7" s="1"/>
  <c r="X573" i="7"/>
  <c r="X180" i="7" s="1"/>
  <c r="X189" i="7" s="1"/>
  <c r="AQ573" i="7"/>
  <c r="AQ180" i="7" s="1"/>
  <c r="AQ189" i="7" s="1"/>
  <c r="Y573" i="7"/>
  <c r="Y180" i="7" s="1"/>
  <c r="Y189" i="7" s="1"/>
  <c r="K573" i="7"/>
  <c r="K180" i="7" s="1"/>
  <c r="K189" i="7" s="1"/>
  <c r="L573" i="7"/>
  <c r="L180" i="7" s="1"/>
  <c r="L189" i="7" s="1"/>
  <c r="P573" i="7"/>
  <c r="P180" i="7" s="1"/>
  <c r="P189" i="7" s="1"/>
  <c r="AD573" i="7"/>
  <c r="AD180" i="7" s="1"/>
  <c r="AD189" i="7" s="1"/>
  <c r="AY573" i="7"/>
  <c r="AY180" i="7" s="1"/>
  <c r="AY189" i="7" s="1"/>
  <c r="AJ573" i="7"/>
  <c r="AJ180" i="7" s="1"/>
  <c r="AJ189" i="7" s="1"/>
  <c r="AC573" i="7"/>
  <c r="AC180" i="7" s="1"/>
  <c r="AC189" i="7" s="1"/>
  <c r="BB573" i="7"/>
  <c r="BB180" i="7" s="1"/>
  <c r="BB189" i="7" s="1"/>
  <c r="I573" i="7"/>
  <c r="I180" i="7" s="1"/>
  <c r="I189" i="7" s="1"/>
  <c r="M573" i="7"/>
  <c r="M180" i="7" s="1"/>
  <c r="M189" i="7" s="1"/>
  <c r="Q573" i="7"/>
  <c r="Q180" i="7" s="1"/>
  <c r="Q189" i="7" s="1"/>
  <c r="AI87" i="7"/>
  <c r="AI96" i="7" s="1"/>
  <c r="AI450" i="7"/>
  <c r="AA528" i="7"/>
  <c r="AA135" i="7"/>
  <c r="AA144" i="7" s="1"/>
  <c r="AP759" i="7"/>
  <c r="AP275" i="7"/>
  <c r="AP284" i="7" s="1"/>
  <c r="K275" i="7"/>
  <c r="K284" i="7" s="1"/>
  <c r="K759" i="7"/>
  <c r="N168" i="7"/>
  <c r="BC168" i="7"/>
  <c r="AJ216" i="7"/>
  <c r="D176" i="8"/>
  <c r="D200" i="8"/>
  <c r="AW386" i="7"/>
  <c r="AW392" i="7" s="1"/>
  <c r="AU386" i="7"/>
  <c r="AQ385" i="7"/>
  <c r="AE385" i="7"/>
  <c r="AE82" i="7" s="1"/>
  <c r="AH386" i="7"/>
  <c r="AH392" i="7" s="1"/>
  <c r="AV386" i="7"/>
  <c r="AV392" i="7" s="1"/>
  <c r="AF386" i="7"/>
  <c r="AF392" i="7" s="1"/>
  <c r="AT385" i="7"/>
  <c r="AT82" i="7" s="1"/>
  <c r="AD385" i="7"/>
  <c r="AT386" i="7"/>
  <c r="AD386" i="7"/>
  <c r="AD392" i="7" s="1"/>
  <c r="AM385" i="7"/>
  <c r="AM82" i="7" s="1"/>
  <c r="AN385" i="7"/>
  <c r="AN82" i="7" s="1"/>
  <c r="AK386" i="7"/>
  <c r="AK392" i="7" s="1"/>
  <c r="AO385" i="7"/>
  <c r="AO82" i="7" s="1"/>
  <c r="AL386" i="7"/>
  <c r="AL392" i="7" s="1"/>
  <c r="T386" i="7"/>
  <c r="T392" i="7" s="1"/>
  <c r="I385" i="7"/>
  <c r="Q385" i="7"/>
  <c r="Q82" i="7" s="1"/>
  <c r="J385" i="7"/>
  <c r="J82" i="7" s="1"/>
  <c r="H386" i="7"/>
  <c r="H392" i="7" s="1"/>
  <c r="Y386" i="7"/>
  <c r="Y392" i="7" s="1"/>
  <c r="AA386" i="7"/>
  <c r="AA392" i="7" s="1"/>
  <c r="Q386" i="7"/>
  <c r="Q392" i="7" s="1"/>
  <c r="N386" i="7"/>
  <c r="N392" i="7" s="1"/>
  <c r="L385" i="7"/>
  <c r="L82" i="7" s="1"/>
  <c r="AC385" i="7"/>
  <c r="AC82" i="7" s="1"/>
  <c r="AY385" i="7"/>
  <c r="AJ385" i="7"/>
  <c r="AJ82" i="7" s="1"/>
  <c r="AM386" i="7"/>
  <c r="AM392" i="7" s="1"/>
  <c r="AK385" i="7"/>
  <c r="AK82" i="7" s="1"/>
  <c r="AP386" i="7"/>
  <c r="AP392" i="7" s="1"/>
  <c r="AR386" i="7"/>
  <c r="AR392" i="7" s="1"/>
  <c r="AB386" i="7"/>
  <c r="AB392" i="7" s="1"/>
  <c r="AP385" i="7"/>
  <c r="AP82" i="7" s="1"/>
  <c r="BB386" i="7"/>
  <c r="BB392" i="7" s="1"/>
  <c r="AO386" i="7"/>
  <c r="AO392" i="7" s="1"/>
  <c r="BC385" i="7"/>
  <c r="BC82" i="7" s="1"/>
  <c r="AG385" i="7"/>
  <c r="AG82" i="7" s="1"/>
  <c r="AU385" i="7"/>
  <c r="AU82" i="7" s="1"/>
  <c r="AQ386" i="7"/>
  <c r="AQ392" i="7" s="1"/>
  <c r="AV385" i="7"/>
  <c r="AV82" i="7" s="1"/>
  <c r="AS386" i="7"/>
  <c r="AS392" i="7" s="1"/>
  <c r="U385" i="7"/>
  <c r="U82" i="7" s="1"/>
  <c r="S386" i="7"/>
  <c r="S392" i="7" s="1"/>
  <c r="Y385" i="7"/>
  <c r="Y82" i="7" s="1"/>
  <c r="R386" i="7"/>
  <c r="R392" i="7" s="1"/>
  <c r="V386" i="7"/>
  <c r="V392" i="7" s="1"/>
  <c r="M386" i="7"/>
  <c r="M392" i="7" s="1"/>
  <c r="R385" i="7"/>
  <c r="R82" i="7" s="1"/>
  <c r="P386" i="7"/>
  <c r="I386" i="7"/>
  <c r="I392" i="7" s="1"/>
  <c r="N385" i="7"/>
  <c r="O386" i="7"/>
  <c r="O392" i="7" s="1"/>
  <c r="BC386" i="7"/>
  <c r="BC392" i="7" s="1"/>
  <c r="BE385" i="7"/>
  <c r="BE82" i="7" s="1"/>
  <c r="AZ386" i="7"/>
  <c r="AZ392" i="7" s="1"/>
  <c r="AX385" i="7"/>
  <c r="AX82" i="7" s="1"/>
  <c r="AY386" i="7"/>
  <c r="AY392" i="7" s="1"/>
  <c r="AR385" i="7"/>
  <c r="AR82" i="7" s="1"/>
  <c r="AC386" i="7"/>
  <c r="AC392" i="7" s="1"/>
  <c r="AE386" i="7"/>
  <c r="AE392" i="7" s="1"/>
  <c r="P385" i="7"/>
  <c r="P82" i="7" s="1"/>
  <c r="W386" i="7"/>
  <c r="W392" i="7" s="1"/>
  <c r="K386" i="7"/>
  <c r="K392" i="7" s="1"/>
  <c r="T385" i="7"/>
  <c r="T82" i="7" s="1"/>
  <c r="X386" i="7"/>
  <c r="AG386" i="7"/>
  <c r="AG392" i="7" s="1"/>
  <c r="AS385" i="7"/>
  <c r="AS82" i="7" s="1"/>
  <c r="AN386" i="7"/>
  <c r="AL385" i="7"/>
  <c r="AL82" i="7" s="1"/>
  <c r="AI386" i="7"/>
  <c r="AI392" i="7" s="1"/>
  <c r="AB385" i="7"/>
  <c r="AB82" i="7" s="1"/>
  <c r="AX386" i="7"/>
  <c r="AX392" i="7" s="1"/>
  <c r="BA386" i="7"/>
  <c r="BA392" i="7" s="1"/>
  <c r="L386" i="7"/>
  <c r="L392" i="7" s="1"/>
  <c r="Z386" i="7"/>
  <c r="Z392" i="7" s="1"/>
  <c r="K385" i="7"/>
  <c r="K82" i="7" s="1"/>
  <c r="S385" i="7"/>
  <c r="BD737" i="7"/>
  <c r="BD743" i="7" s="1"/>
  <c r="BE736" i="7"/>
  <c r="BE272" i="7" s="1"/>
  <c r="AD736" i="7"/>
  <c r="AD272" i="7" s="1"/>
  <c r="AG736" i="7"/>
  <c r="AH736" i="7"/>
  <c r="AH272" i="7" s="1"/>
  <c r="AI737" i="7"/>
  <c r="AI743" i="7" s="1"/>
  <c r="AX737" i="7"/>
  <c r="AX743" i="7" s="1"/>
  <c r="AH737" i="7"/>
  <c r="BA737" i="7"/>
  <c r="BA743" i="7" s="1"/>
  <c r="AF737" i="7"/>
  <c r="AF743" i="7" s="1"/>
  <c r="AV736" i="7"/>
  <c r="AJ736" i="7"/>
  <c r="AJ272" i="7" s="1"/>
  <c r="BE737" i="7"/>
  <c r="AJ737" i="7"/>
  <c r="AJ738" i="7" s="1"/>
  <c r="BC736" i="7"/>
  <c r="AM736" i="7"/>
  <c r="AM272" i="7" s="1"/>
  <c r="W736" i="7"/>
  <c r="BA736" i="7"/>
  <c r="BA738" i="7" s="1"/>
  <c r="BB736" i="7"/>
  <c r="Y736" i="7"/>
  <c r="AT736" i="7"/>
  <c r="AT272" i="7" s="1"/>
  <c r="AW736" i="7"/>
  <c r="AW272" i="7" s="1"/>
  <c r="AP736" i="7"/>
  <c r="AS737" i="7"/>
  <c r="AS743" i="7" s="1"/>
  <c r="AT737" i="7"/>
  <c r="AT743" i="7" s="1"/>
  <c r="AD737" i="7"/>
  <c r="AD743" i="7" s="1"/>
  <c r="AV737" i="7"/>
  <c r="AV743" i="7" s="1"/>
  <c r="AA737" i="7"/>
  <c r="AA743" i="7" s="1"/>
  <c r="AR736" i="7"/>
  <c r="AR272" i="7" s="1"/>
  <c r="AF736" i="7"/>
  <c r="AF272" i="7" s="1"/>
  <c r="AZ737" i="7"/>
  <c r="AZ743" i="7" s="1"/>
  <c r="AE737" i="7"/>
  <c r="AE743" i="7" s="1"/>
  <c r="AY736" i="7"/>
  <c r="AY272" i="7" s="1"/>
  <c r="AI736" i="7"/>
  <c r="AI272" i="7" s="1"/>
  <c r="AC736" i="7"/>
  <c r="AC272" i="7" s="1"/>
  <c r="AB737" i="7"/>
  <c r="AB743" i="7" s="1"/>
  <c r="AO736" i="7"/>
  <c r="AO272" i="7" s="1"/>
  <c r="AL736" i="7"/>
  <c r="BC737" i="7"/>
  <c r="BC743" i="7" s="1"/>
  <c r="Z737" i="7"/>
  <c r="Z743" i="7" s="1"/>
  <c r="BD736" i="7"/>
  <c r="BD272" i="7" s="1"/>
  <c r="AB736" i="7"/>
  <c r="Y737" i="7"/>
  <c r="Y743" i="7" s="1"/>
  <c r="AE736" i="7"/>
  <c r="AE272" i="7" s="1"/>
  <c r="AM737" i="7"/>
  <c r="AM743" i="7" s="1"/>
  <c r="V736" i="7"/>
  <c r="V272" i="7" s="1"/>
  <c r="R737" i="7"/>
  <c r="R743" i="7" s="1"/>
  <c r="U736" i="7"/>
  <c r="U272" i="7" s="1"/>
  <c r="H736" i="7"/>
  <c r="H272" i="7" s="1"/>
  <c r="O736" i="7"/>
  <c r="O738" i="7" s="1"/>
  <c r="O285" i="7" s="1"/>
  <c r="J737" i="7"/>
  <c r="J743" i="7" s="1"/>
  <c r="S737" i="7"/>
  <c r="S743" i="7" s="1"/>
  <c r="N737" i="7"/>
  <c r="N743" i="7" s="1"/>
  <c r="W737" i="7"/>
  <c r="W743" i="7" s="1"/>
  <c r="AN737" i="7"/>
  <c r="AN743" i="7" s="1"/>
  <c r="AC737" i="7"/>
  <c r="Z736" i="7"/>
  <c r="Z272" i="7" s="1"/>
  <c r="BB737" i="7"/>
  <c r="BB743" i="7" s="1"/>
  <c r="AZ736" i="7"/>
  <c r="AZ272" i="7" s="1"/>
  <c r="X736" i="7"/>
  <c r="X272" i="7" s="1"/>
  <c r="AA736" i="7"/>
  <c r="AA272" i="7" s="1"/>
  <c r="AW737" i="7"/>
  <c r="AW743" i="7" s="1"/>
  <c r="I736" i="7"/>
  <c r="I272" i="7" s="1"/>
  <c r="T736" i="7"/>
  <c r="T272" i="7" s="1"/>
  <c r="T737" i="7"/>
  <c r="T743" i="7" s="1"/>
  <c r="U737" i="7"/>
  <c r="U743" i="7" s="1"/>
  <c r="L737" i="7"/>
  <c r="L743" i="7" s="1"/>
  <c r="I737" i="7"/>
  <c r="I743" i="7" s="1"/>
  <c r="P737" i="7"/>
  <c r="P743" i="7" s="1"/>
  <c r="K736" i="7"/>
  <c r="K272" i="7" s="1"/>
  <c r="AR737" i="7"/>
  <c r="AR743" i="7" s="1"/>
  <c r="AX736" i="7"/>
  <c r="AX272" i="7" s="1"/>
  <c r="AQ737" i="7"/>
  <c r="AQ743" i="7" s="1"/>
  <c r="AU737" i="7"/>
  <c r="AU743" i="7" s="1"/>
  <c r="AK736" i="7"/>
  <c r="H737" i="7"/>
  <c r="H743" i="7" s="1"/>
  <c r="V737" i="7"/>
  <c r="V743" i="7" s="1"/>
  <c r="J736" i="7"/>
  <c r="J272" i="7" s="1"/>
  <c r="M737" i="7"/>
  <c r="M743" i="7" s="1"/>
  <c r="AY737" i="7"/>
  <c r="AY743" i="7" s="1"/>
  <c r="X737" i="7"/>
  <c r="X738" i="7" s="1"/>
  <c r="X285" i="7" s="1"/>
  <c r="AK737" i="7"/>
  <c r="AK743" i="7" s="1"/>
  <c r="AO737" i="7"/>
  <c r="AO743" i="7" s="1"/>
  <c r="AS736" i="7"/>
  <c r="AS272" i="7" s="1"/>
  <c r="Q737" i="7"/>
  <c r="Q743" i="7" s="1"/>
  <c r="M736" i="7"/>
  <c r="M272" i="7" s="1"/>
  <c r="K737" i="7"/>
  <c r="K743" i="7" s="1"/>
  <c r="BC28" i="7"/>
  <c r="AU28" i="7"/>
  <c r="AM28" i="7"/>
  <c r="AE28" i="7"/>
  <c r="O28" i="7"/>
  <c r="O129" i="4"/>
  <c r="O165" i="4"/>
  <c r="H293" i="4"/>
  <c r="L282" i="4"/>
  <c r="L118" i="4" s="1"/>
  <c r="L162" i="4" s="1"/>
  <c r="M282" i="4"/>
  <c r="M284" i="4" s="1"/>
  <c r="Y283" i="4"/>
  <c r="Y289" i="4" s="1"/>
  <c r="U283" i="4"/>
  <c r="U289" i="4" s="1"/>
  <c r="J573" i="7"/>
  <c r="J180" i="7" s="1"/>
  <c r="J189" i="7" s="1"/>
  <c r="J816" i="7"/>
  <c r="BE816" i="7"/>
  <c r="Q816" i="7"/>
  <c r="AR816" i="7"/>
  <c r="O385" i="7"/>
  <c r="O387" i="7" s="1"/>
  <c r="L736" i="7"/>
  <c r="H617" i="7"/>
  <c r="H224" i="7" s="1"/>
  <c r="T271" i="7"/>
  <c r="T717" i="7"/>
  <c r="O484" i="7"/>
  <c r="O131" i="7" s="1"/>
  <c r="H484" i="7"/>
  <c r="H131" i="7" s="1"/>
  <c r="AY419" i="7"/>
  <c r="AY86" i="7" s="1"/>
  <c r="AY95" i="7" s="1"/>
  <c r="AI419" i="7"/>
  <c r="AI86" i="7" s="1"/>
  <c r="AI95" i="7" s="1"/>
  <c r="AR419" i="7"/>
  <c r="AR86" i="7" s="1"/>
  <c r="AR95" i="7" s="1"/>
  <c r="AM419" i="7"/>
  <c r="AM86" i="7" s="1"/>
  <c r="AM95" i="7" s="1"/>
  <c r="BA419" i="7"/>
  <c r="BA86" i="7" s="1"/>
  <c r="BA95" i="7" s="1"/>
  <c r="AS419" i="7"/>
  <c r="AS86" i="7" s="1"/>
  <c r="AS95" i="7" s="1"/>
  <c r="AZ419" i="7"/>
  <c r="AZ86" i="7" s="1"/>
  <c r="AZ95" i="7" s="1"/>
  <c r="AF419" i="7"/>
  <c r="AF86" i="7" s="1"/>
  <c r="AF95" i="7" s="1"/>
  <c r="L419" i="7"/>
  <c r="L86" i="7" s="1"/>
  <c r="L95" i="7" s="1"/>
  <c r="P419" i="7"/>
  <c r="P86" i="7" s="1"/>
  <c r="P95" i="7" s="1"/>
  <c r="BE419" i="7"/>
  <c r="BE86" i="7" s="1"/>
  <c r="BE95" i="7" s="1"/>
  <c r="AQ419" i="7"/>
  <c r="AQ86" i="7" s="1"/>
  <c r="AQ95" i="7" s="1"/>
  <c r="BB419" i="7"/>
  <c r="BB86" i="7" s="1"/>
  <c r="BB95" i="7" s="1"/>
  <c r="AO419" i="7"/>
  <c r="AO86" i="7" s="1"/>
  <c r="AO95" i="7" s="1"/>
  <c r="AJ419" i="7"/>
  <c r="AJ86" i="7" s="1"/>
  <c r="AJ95" i="7" s="1"/>
  <c r="AT419" i="7"/>
  <c r="AT86" i="7" s="1"/>
  <c r="AT95" i="7" s="1"/>
  <c r="AN419" i="7"/>
  <c r="AN86" i="7" s="1"/>
  <c r="AN95" i="7" s="1"/>
  <c r="AL419" i="7"/>
  <c r="AL86" i="7" s="1"/>
  <c r="AL95" i="7" s="1"/>
  <c r="I419" i="7"/>
  <c r="I86" i="7" s="1"/>
  <c r="I95" i="7" s="1"/>
  <c r="M419" i="7"/>
  <c r="M86" i="7" s="1"/>
  <c r="M95" i="7" s="1"/>
  <c r="AP419" i="7"/>
  <c r="AP86" i="7" s="1"/>
  <c r="AP95" i="7" s="1"/>
  <c r="BC419" i="7"/>
  <c r="BC86" i="7" s="1"/>
  <c r="BC95" i="7" s="1"/>
  <c r="AK419" i="7"/>
  <c r="AK86" i="7" s="1"/>
  <c r="AK95" i="7" s="1"/>
  <c r="N419" i="7"/>
  <c r="N86" i="7" s="1"/>
  <c r="N95" i="7" s="1"/>
  <c r="T419" i="7"/>
  <c r="T86" i="7" s="1"/>
  <c r="T95" i="7" s="1"/>
  <c r="X419" i="7"/>
  <c r="X86" i="7" s="1"/>
  <c r="X95" i="7" s="1"/>
  <c r="Y419" i="7"/>
  <c r="Y86" i="7" s="1"/>
  <c r="Y95" i="7" s="1"/>
  <c r="AX419" i="7"/>
  <c r="AX86" i="7" s="1"/>
  <c r="AX95" i="7" s="1"/>
  <c r="AD419" i="7"/>
  <c r="AD86" i="7" s="1"/>
  <c r="AD95" i="7" s="1"/>
  <c r="AV419" i="7"/>
  <c r="AV86" i="7" s="1"/>
  <c r="AV95" i="7" s="1"/>
  <c r="AC419" i="7"/>
  <c r="AC86" i="7" s="1"/>
  <c r="AC95" i="7" s="1"/>
  <c r="O419" i="7"/>
  <c r="O86" i="7" s="1"/>
  <c r="O95" i="7" s="1"/>
  <c r="R419" i="7"/>
  <c r="R86" i="7" s="1"/>
  <c r="R95" i="7" s="1"/>
  <c r="V419" i="7"/>
  <c r="V86" i="7" s="1"/>
  <c r="V95" i="7" s="1"/>
  <c r="AF385" i="7"/>
  <c r="AZ385" i="7"/>
  <c r="BA485" i="7"/>
  <c r="BA491" i="7" s="1"/>
  <c r="AG225" i="7"/>
  <c r="AG640" i="7"/>
  <c r="AN736" i="7"/>
  <c r="AN272" i="7" s="1"/>
  <c r="AM618" i="7"/>
  <c r="AM624" i="7" s="1"/>
  <c r="AD682" i="7"/>
  <c r="AD229" i="7"/>
  <c r="AD238" i="7" s="1"/>
  <c r="AO74" i="7"/>
  <c r="AW74" i="7"/>
  <c r="G319" i="4"/>
  <c r="G330" i="4" s="1"/>
  <c r="G332" i="4" s="1"/>
  <c r="H329" i="4" s="1"/>
  <c r="G320" i="4"/>
  <c r="G320" i="17"/>
  <c r="G319" i="17"/>
  <c r="AY640" i="7"/>
  <c r="K826" i="7"/>
  <c r="K830" i="7" s="1"/>
  <c r="O826" i="7"/>
  <c r="O830" i="7" s="1"/>
  <c r="D198" i="8"/>
  <c r="AD465" i="7"/>
  <c r="H661" i="7"/>
  <c r="Z419" i="7"/>
  <c r="Z86" i="7" s="1"/>
  <c r="Z95" i="7" s="1"/>
  <c r="O573" i="7"/>
  <c r="O180" i="7" s="1"/>
  <c r="O189" i="7" s="1"/>
  <c r="AB573" i="7"/>
  <c r="AB180" i="7" s="1"/>
  <c r="AB189" i="7" s="1"/>
  <c r="AH573" i="7"/>
  <c r="AH180" i="7" s="1"/>
  <c r="AH189" i="7" s="1"/>
  <c r="AX573" i="7"/>
  <c r="AX180" i="7" s="1"/>
  <c r="AX189" i="7" s="1"/>
  <c r="Q419" i="7"/>
  <c r="Q86" i="7" s="1"/>
  <c r="Q95" i="7" s="1"/>
  <c r="AW419" i="7"/>
  <c r="AW86" i="7" s="1"/>
  <c r="AW95" i="7" s="1"/>
  <c r="AE419" i="7"/>
  <c r="AE86" i="7" s="1"/>
  <c r="AE95" i="7" s="1"/>
  <c r="AP497" i="7"/>
  <c r="AP134" i="7" s="1"/>
  <c r="AP143" i="7" s="1"/>
  <c r="AX497" i="7"/>
  <c r="AX134" i="7" s="1"/>
  <c r="AX143" i="7" s="1"/>
  <c r="AG497" i="7"/>
  <c r="AG134" i="7" s="1"/>
  <c r="AG143" i="7" s="1"/>
  <c r="AN497" i="7"/>
  <c r="AN134" i="7" s="1"/>
  <c r="AN143" i="7" s="1"/>
  <c r="BD497" i="7"/>
  <c r="BD134" i="7" s="1"/>
  <c r="BD143" i="7" s="1"/>
  <c r="AO497" i="7"/>
  <c r="AO134" i="7" s="1"/>
  <c r="AO143" i="7" s="1"/>
  <c r="J497" i="7"/>
  <c r="J134" i="7" s="1"/>
  <c r="J143" i="7" s="1"/>
  <c r="N497" i="7"/>
  <c r="N134" i="7" s="1"/>
  <c r="N143" i="7" s="1"/>
  <c r="AU497" i="7"/>
  <c r="AU134" i="7" s="1"/>
  <c r="AU143" i="7" s="1"/>
  <c r="BC497" i="7"/>
  <c r="BC134" i="7" s="1"/>
  <c r="BC143" i="7" s="1"/>
  <c r="AW497" i="7"/>
  <c r="AW134" i="7" s="1"/>
  <c r="AW143" i="7" s="1"/>
  <c r="AS497" i="7"/>
  <c r="AS134" i="7" s="1"/>
  <c r="AS143" i="7" s="1"/>
  <c r="AH497" i="7"/>
  <c r="AH134" i="7" s="1"/>
  <c r="AH143" i="7" s="1"/>
  <c r="K497" i="7"/>
  <c r="K134" i="7" s="1"/>
  <c r="K143" i="7" s="1"/>
  <c r="AK497" i="7"/>
  <c r="AK134" i="7" s="1"/>
  <c r="AK143" i="7" s="1"/>
  <c r="AI497" i="7"/>
  <c r="AI134" i="7" s="1"/>
  <c r="AI143" i="7" s="1"/>
  <c r="AY497" i="7"/>
  <c r="AY134" i="7" s="1"/>
  <c r="AY143" i="7" s="1"/>
  <c r="H497" i="7"/>
  <c r="R497" i="7"/>
  <c r="R134" i="7" s="1"/>
  <c r="R143" i="7" s="1"/>
  <c r="AD497" i="7"/>
  <c r="AD134" i="7" s="1"/>
  <c r="AD143" i="7" s="1"/>
  <c r="BA497" i="7"/>
  <c r="BA134" i="7" s="1"/>
  <c r="BA143" i="7" s="1"/>
  <c r="AQ497" i="7"/>
  <c r="AQ134" i="7" s="1"/>
  <c r="AQ143" i="7" s="1"/>
  <c r="AZ497" i="7"/>
  <c r="AZ134" i="7" s="1"/>
  <c r="AZ143" i="7" s="1"/>
  <c r="I497" i="7"/>
  <c r="I134" i="7" s="1"/>
  <c r="I143" i="7" s="1"/>
  <c r="O497" i="7"/>
  <c r="O134" i="7" s="1"/>
  <c r="O143" i="7" s="1"/>
  <c r="Q497" i="7"/>
  <c r="Q134" i="7" s="1"/>
  <c r="Q143" i="7" s="1"/>
  <c r="S497" i="7"/>
  <c r="S134" i="7" s="1"/>
  <c r="S143" i="7" s="1"/>
  <c r="W497" i="7"/>
  <c r="W134" i="7" s="1"/>
  <c r="W143" i="7" s="1"/>
  <c r="X497" i="7"/>
  <c r="X134" i="7" s="1"/>
  <c r="X143" i="7" s="1"/>
  <c r="Z497" i="7"/>
  <c r="Z134" i="7" s="1"/>
  <c r="Z143" i="7" s="1"/>
  <c r="AC497" i="7"/>
  <c r="AC134" i="7" s="1"/>
  <c r="AC143" i="7" s="1"/>
  <c r="AF497" i="7"/>
  <c r="AF134" i="7" s="1"/>
  <c r="AF143" i="7" s="1"/>
  <c r="U386" i="7"/>
  <c r="U392" i="7" s="1"/>
  <c r="J386" i="7"/>
  <c r="J392" i="7" s="1"/>
  <c r="X385" i="7"/>
  <c r="X82" i="7" s="1"/>
  <c r="Q701" i="7"/>
  <c r="Q696" i="7"/>
  <c r="Q736" i="7"/>
  <c r="Q272" i="7" s="1"/>
  <c r="O737" i="7"/>
  <c r="O743" i="7" s="1"/>
  <c r="U617" i="7"/>
  <c r="U224" i="7" s="1"/>
  <c r="N618" i="7"/>
  <c r="N624" i="7" s="1"/>
  <c r="AF485" i="7"/>
  <c r="AF491" i="7" s="1"/>
  <c r="M484" i="7"/>
  <c r="M131" i="7" s="1"/>
  <c r="Q485" i="7"/>
  <c r="Q491" i="7" s="1"/>
  <c r="AI385" i="7"/>
  <c r="AI82" i="7" s="1"/>
  <c r="AJ386" i="7"/>
  <c r="AJ392" i="7" s="1"/>
  <c r="AH484" i="7"/>
  <c r="AH131" i="7" s="1"/>
  <c r="AJ484" i="7"/>
  <c r="AS485" i="7"/>
  <c r="AS491" i="7" s="1"/>
  <c r="AD528" i="7"/>
  <c r="AD135" i="7"/>
  <c r="AD144" i="7" s="1"/>
  <c r="AM135" i="7"/>
  <c r="AM144" i="7" s="1"/>
  <c r="AM528" i="7"/>
  <c r="BC528" i="7"/>
  <c r="AO485" i="7"/>
  <c r="AO491" i="7" s="1"/>
  <c r="BD485" i="7"/>
  <c r="BD491" i="7" s="1"/>
  <c r="AW682" i="7"/>
  <c r="AW229" i="7"/>
  <c r="AW238" i="7" s="1"/>
  <c r="AE682" i="7"/>
  <c r="AE229" i="7"/>
  <c r="AE238" i="7" s="1"/>
  <c r="AP666" i="7"/>
  <c r="AP661" i="7"/>
  <c r="AH225" i="7"/>
  <c r="AH640" i="7"/>
  <c r="AX640" i="7"/>
  <c r="AD617" i="7"/>
  <c r="AD224" i="7" s="1"/>
  <c r="AU736" i="7"/>
  <c r="AP737" i="7"/>
  <c r="AP743" i="7" s="1"/>
  <c r="BA617" i="7"/>
  <c r="BA224" i="7" s="1"/>
  <c r="BA87" i="7"/>
  <c r="BA96" i="7" s="1"/>
  <c r="BA450" i="7"/>
  <c r="AI696" i="7"/>
  <c r="AI701" i="7"/>
  <c r="H123" i="7"/>
  <c r="H122" i="7"/>
  <c r="H124" i="7"/>
  <c r="H121" i="7"/>
  <c r="H120" i="7" s="1"/>
  <c r="AR122" i="7"/>
  <c r="BB122" i="7"/>
  <c r="AO790" i="7"/>
  <c r="AO80" i="7" s="1"/>
  <c r="S651" i="7"/>
  <c r="S228" i="7" s="1"/>
  <c r="S237" i="7" s="1"/>
  <c r="Q651" i="7"/>
  <c r="Q228" i="7" s="1"/>
  <c r="Q237" i="7" s="1"/>
  <c r="H651" i="7"/>
  <c r="Z651" i="7"/>
  <c r="Z228" i="7" s="1"/>
  <c r="Z237" i="7" s="1"/>
  <c r="AK651" i="7"/>
  <c r="AK228" i="7" s="1"/>
  <c r="AK237" i="7" s="1"/>
  <c r="AH651" i="7"/>
  <c r="AH228" i="7" s="1"/>
  <c r="AH237" i="7" s="1"/>
  <c r="AV651" i="7"/>
  <c r="AV228" i="7" s="1"/>
  <c r="AV237" i="7" s="1"/>
  <c r="H670" i="7"/>
  <c r="G665" i="7"/>
  <c r="G667" i="7" s="1"/>
  <c r="H664" i="7" s="1"/>
  <c r="I450" i="7"/>
  <c r="I87" i="7"/>
  <c r="I96" i="7" s="1"/>
  <c r="AW181" i="7"/>
  <c r="AW190" i="7" s="1"/>
  <c r="AW604" i="7"/>
  <c r="AL562" i="7"/>
  <c r="AT541" i="7"/>
  <c r="J682" i="7"/>
  <c r="J229" i="7"/>
  <c r="J238" i="7" s="1"/>
  <c r="J528" i="7"/>
  <c r="J135" i="7"/>
  <c r="J144" i="7" s="1"/>
  <c r="I217" i="7"/>
  <c r="I215" i="7"/>
  <c r="I214" i="7" s="1"/>
  <c r="BA651" i="7"/>
  <c r="BA228" i="7" s="1"/>
  <c r="BA237" i="7" s="1"/>
  <c r="AI651" i="7"/>
  <c r="AI228" i="7" s="1"/>
  <c r="AI237" i="7" s="1"/>
  <c r="AS651" i="7"/>
  <c r="AS228" i="7" s="1"/>
  <c r="AS237" i="7" s="1"/>
  <c r="W651" i="7"/>
  <c r="W228" i="7" s="1"/>
  <c r="W237" i="7" s="1"/>
  <c r="AO651" i="7"/>
  <c r="AO228" i="7" s="1"/>
  <c r="AO237" i="7" s="1"/>
  <c r="AN651" i="7"/>
  <c r="AN228" i="7" s="1"/>
  <c r="AN237" i="7" s="1"/>
  <c r="BB651" i="7"/>
  <c r="BB228" i="7" s="1"/>
  <c r="BB237" i="7" s="1"/>
  <c r="AE651" i="7"/>
  <c r="AE228" i="7" s="1"/>
  <c r="AE237" i="7" s="1"/>
  <c r="AW651" i="7"/>
  <c r="AW228" i="7" s="1"/>
  <c r="AW237" i="7" s="1"/>
  <c r="J651" i="7"/>
  <c r="J228" i="7" s="1"/>
  <c r="J237" i="7" s="1"/>
  <c r="N651" i="7"/>
  <c r="N228" i="7" s="1"/>
  <c r="N237" i="7" s="1"/>
  <c r="R651" i="7"/>
  <c r="R228" i="7" s="1"/>
  <c r="R237" i="7" s="1"/>
  <c r="AA651" i="7"/>
  <c r="AA228" i="7" s="1"/>
  <c r="AA237" i="7" s="1"/>
  <c r="BC651" i="7"/>
  <c r="BC228" i="7" s="1"/>
  <c r="BC237" i="7" s="1"/>
  <c r="AP651" i="7"/>
  <c r="AP228" i="7" s="1"/>
  <c r="AP237" i="7" s="1"/>
  <c r="AR651" i="7"/>
  <c r="AR228" i="7" s="1"/>
  <c r="AR237" i="7" s="1"/>
  <c r="AJ651" i="7"/>
  <c r="AJ228" i="7" s="1"/>
  <c r="AJ237" i="7" s="1"/>
  <c r="AY651" i="7"/>
  <c r="AY228" i="7" s="1"/>
  <c r="AY237" i="7" s="1"/>
  <c r="AM651" i="7"/>
  <c r="AM228" i="7" s="1"/>
  <c r="AM237" i="7" s="1"/>
  <c r="AF651" i="7"/>
  <c r="AF228" i="7" s="1"/>
  <c r="AF237" i="7" s="1"/>
  <c r="K651" i="7"/>
  <c r="K228" i="7" s="1"/>
  <c r="K237" i="7" s="1"/>
  <c r="O651" i="7"/>
  <c r="O228" i="7" s="1"/>
  <c r="O237" i="7" s="1"/>
  <c r="M845" i="7"/>
  <c r="P845" i="7"/>
  <c r="AI181" i="7"/>
  <c r="AI190" i="7" s="1"/>
  <c r="AI604" i="7"/>
  <c r="U546" i="7"/>
  <c r="U541" i="7"/>
  <c r="S122" i="7"/>
  <c r="T216" i="7"/>
  <c r="BE464" i="7"/>
  <c r="BE470" i="7" s="1"/>
  <c r="AZ463" i="7"/>
  <c r="AZ130" i="7" s="1"/>
  <c r="BE463" i="7"/>
  <c r="BE130" i="7" s="1"/>
  <c r="AW463" i="7"/>
  <c r="AW130" i="7" s="1"/>
  <c r="BA463" i="7"/>
  <c r="BA130" i="7" s="1"/>
  <c r="AO463" i="7"/>
  <c r="AO130" i="7" s="1"/>
  <c r="AP464" i="7"/>
  <c r="AP470" i="7" s="1"/>
  <c r="BB464" i="7"/>
  <c r="BB470" i="7" s="1"/>
  <c r="BA464" i="7"/>
  <c r="AK463" i="7"/>
  <c r="AK130" i="7" s="1"/>
  <c r="AM463" i="7"/>
  <c r="AM130" i="7" s="1"/>
  <c r="AJ463" i="7"/>
  <c r="AJ130" i="7" s="1"/>
  <c r="AV463" i="7"/>
  <c r="AV130" i="7" s="1"/>
  <c r="AW464" i="7"/>
  <c r="AW470" i="7" s="1"/>
  <c r="AU464" i="7"/>
  <c r="AU470" i="7" s="1"/>
  <c r="AU463" i="7"/>
  <c r="BC463" i="7"/>
  <c r="BC130" i="7" s="1"/>
  <c r="AI463" i="7"/>
  <c r="BD463" i="7"/>
  <c r="BD130" i="7" s="1"/>
  <c r="AY464" i="7"/>
  <c r="AY470" i="7" s="1"/>
  <c r="AH463" i="7"/>
  <c r="AH130" i="7" s="1"/>
  <c r="AX463" i="7"/>
  <c r="AX130" i="7" s="1"/>
  <c r="AR464" i="7"/>
  <c r="AR470" i="7" s="1"/>
  <c r="V464" i="7"/>
  <c r="V470" i="7" s="1"/>
  <c r="M463" i="7"/>
  <c r="X464" i="7"/>
  <c r="X470" i="7" s="1"/>
  <c r="AE464" i="7"/>
  <c r="AE470" i="7" s="1"/>
  <c r="AC463" i="7"/>
  <c r="AC130" i="7" s="1"/>
  <c r="AF464" i="7"/>
  <c r="AF470" i="7" s="1"/>
  <c r="Q464" i="7"/>
  <c r="Q470" i="7" s="1"/>
  <c r="K463" i="7"/>
  <c r="K130" i="7" s="1"/>
  <c r="V463" i="7"/>
  <c r="AC464" i="7"/>
  <c r="AE463" i="7"/>
  <c r="AE465" i="7" s="1"/>
  <c r="T464" i="7"/>
  <c r="T470" i="7" s="1"/>
  <c r="S464" i="7"/>
  <c r="S470" i="7" s="1"/>
  <c r="AK464" i="7"/>
  <c r="AK470" i="7" s="1"/>
  <c r="AQ464" i="7"/>
  <c r="AQ470" i="7" s="1"/>
  <c r="AX464" i="7"/>
  <c r="AX470" i="7" s="1"/>
  <c r="AS464" i="7"/>
  <c r="AS470" i="7" s="1"/>
  <c r="AH464" i="7"/>
  <c r="AH470" i="7" s="1"/>
  <c r="AN463" i="7"/>
  <c r="AN465" i="7" s="1"/>
  <c r="AI464" i="7"/>
  <c r="AI470" i="7" s="1"/>
  <c r="AL463" i="7"/>
  <c r="AL130" i="7" s="1"/>
  <c r="BB463" i="7"/>
  <c r="AV464" i="7"/>
  <c r="AV470" i="7" s="1"/>
  <c r="X463" i="7"/>
  <c r="X130" i="7" s="1"/>
  <c r="T463" i="7"/>
  <c r="T130" i="7" s="1"/>
  <c r="J463" i="7"/>
  <c r="J130" i="7" s="1"/>
  <c r="K464" i="7"/>
  <c r="K470" i="7" s="1"/>
  <c r="J464" i="7"/>
  <c r="J470" i="7" s="1"/>
  <c r="O464" i="7"/>
  <c r="O470" i="7" s="1"/>
  <c r="Q463" i="7"/>
  <c r="U464" i="7"/>
  <c r="U470" i="7" s="1"/>
  <c r="L464" i="7"/>
  <c r="L465" i="7" s="1"/>
  <c r="AF463" i="7"/>
  <c r="AF130" i="7" s="1"/>
  <c r="Y463" i="7"/>
  <c r="AP506" i="7"/>
  <c r="AZ506" i="7"/>
  <c r="AZ512" i="7" s="1"/>
  <c r="BC505" i="7"/>
  <c r="BC132" i="7" s="1"/>
  <c r="AM505" i="7"/>
  <c r="AM132" i="7" s="1"/>
  <c r="AR506" i="7"/>
  <c r="AR507" i="7" s="1"/>
  <c r="BA505" i="7"/>
  <c r="BA132" i="7" s="1"/>
  <c r="AK505" i="7"/>
  <c r="BD505" i="7"/>
  <c r="BD132" i="7" s="1"/>
  <c r="AI506" i="7"/>
  <c r="AI512" i="7" s="1"/>
  <c r="AN506" i="7"/>
  <c r="AN512" i="7" s="1"/>
  <c r="AP505" i="7"/>
  <c r="AP132" i="7" s="1"/>
  <c r="AY506" i="7"/>
  <c r="AA505" i="7"/>
  <c r="AA132" i="7" s="1"/>
  <c r="N506" i="7"/>
  <c r="N512" i="7" s="1"/>
  <c r="Z505" i="7"/>
  <c r="Z132" i="7" s="1"/>
  <c r="S505" i="7"/>
  <c r="M505" i="7"/>
  <c r="M132" i="7" s="1"/>
  <c r="AA506" i="7"/>
  <c r="AA512" i="7" s="1"/>
  <c r="AE506" i="7"/>
  <c r="AE505" i="7"/>
  <c r="AE132" i="7" s="1"/>
  <c r="AD505" i="7"/>
  <c r="T505" i="7"/>
  <c r="T132" i="7" s="1"/>
  <c r="O506" i="7"/>
  <c r="O505" i="7"/>
  <c r="O132" i="7" s="1"/>
  <c r="BB506" i="7"/>
  <c r="BB512" i="7" s="1"/>
  <c r="AL506" i="7"/>
  <c r="AL512" i="7" s="1"/>
  <c r="AU506" i="7"/>
  <c r="AU512" i="7" s="1"/>
  <c r="AY505" i="7"/>
  <c r="AY132" i="7" s="1"/>
  <c r="AI505" i="7"/>
  <c r="AI132" i="7" s="1"/>
  <c r="AM506" i="7"/>
  <c r="AM512" i="7" s="1"/>
  <c r="AW505" i="7"/>
  <c r="AW132" i="7" s="1"/>
  <c r="AG505" i="7"/>
  <c r="AV505" i="7"/>
  <c r="AV132" i="7" s="1"/>
  <c r="AX505" i="7"/>
  <c r="AX132" i="7" s="1"/>
  <c r="BB505" i="7"/>
  <c r="AK506" i="7"/>
  <c r="AK512" i="7" s="1"/>
  <c r="AJ505" i="7"/>
  <c r="AJ132" i="7" s="1"/>
  <c r="AD506" i="7"/>
  <c r="AD512" i="7" s="1"/>
  <c r="K505" i="7"/>
  <c r="K132" i="7" s="1"/>
  <c r="AF505" i="7"/>
  <c r="J505" i="7"/>
  <c r="AB506" i="7"/>
  <c r="AB512" i="7" s="1"/>
  <c r="P505" i="7"/>
  <c r="P132" i="7" s="1"/>
  <c r="L506" i="7"/>
  <c r="I505" i="7"/>
  <c r="I132" i="7" s="1"/>
  <c r="W506" i="7"/>
  <c r="W512" i="7" s="1"/>
  <c r="V506" i="7"/>
  <c r="V512" i="7" s="1"/>
  <c r="Z506" i="7"/>
  <c r="Z512" i="7" s="1"/>
  <c r="Y505" i="7"/>
  <c r="Y132" i="7" s="1"/>
  <c r="Q505" i="7"/>
  <c r="Q132" i="7" s="1"/>
  <c r="AN561" i="7"/>
  <c r="AN567" i="7" s="1"/>
  <c r="Z560" i="7"/>
  <c r="Z177" i="7" s="1"/>
  <c r="BC561" i="7"/>
  <c r="BC567" i="7" s="1"/>
  <c r="AM561" i="7"/>
  <c r="AM567" i="7" s="1"/>
  <c r="AA561" i="7"/>
  <c r="AK560" i="7"/>
  <c r="AT561" i="7"/>
  <c r="AT567" i="7" s="1"/>
  <c r="AD561" i="7"/>
  <c r="AD567" i="7" s="1"/>
  <c r="AZ560" i="7"/>
  <c r="AJ560" i="7"/>
  <c r="BE561" i="7"/>
  <c r="BE567" i="7" s="1"/>
  <c r="AO561" i="7"/>
  <c r="AO567" i="7" s="1"/>
  <c r="Y561" i="7"/>
  <c r="Y567" i="7" s="1"/>
  <c r="AU560" i="7"/>
  <c r="AU177" i="7" s="1"/>
  <c r="AE560" i="7"/>
  <c r="AJ561" i="7"/>
  <c r="AJ567" i="7" s="1"/>
  <c r="AV561" i="7"/>
  <c r="AR561" i="7"/>
  <c r="AR567" i="7" s="1"/>
  <c r="AP560" i="7"/>
  <c r="AP177" i="7" s="1"/>
  <c r="I560" i="7"/>
  <c r="I177" i="7" s="1"/>
  <c r="N560" i="7"/>
  <c r="P561" i="7"/>
  <c r="P567" i="7" s="1"/>
  <c r="Q561" i="7"/>
  <c r="K561" i="7"/>
  <c r="K567" i="7" s="1"/>
  <c r="P560" i="7"/>
  <c r="P177" i="7" s="1"/>
  <c r="R560" i="7"/>
  <c r="R177" i="7" s="1"/>
  <c r="AY561" i="7"/>
  <c r="AY567" i="7" s="1"/>
  <c r="W561" i="7"/>
  <c r="W567" i="7" s="1"/>
  <c r="AW560" i="7"/>
  <c r="AG560" i="7"/>
  <c r="U560" i="7"/>
  <c r="U177" i="7" s="1"/>
  <c r="AP561" i="7"/>
  <c r="AP567" i="7" s="1"/>
  <c r="Z561" i="7"/>
  <c r="AV560" i="7"/>
  <c r="AV177" i="7" s="1"/>
  <c r="AF560" i="7"/>
  <c r="AF562" i="7" s="1"/>
  <c r="BA561" i="7"/>
  <c r="BA562" i="7" s="1"/>
  <c r="AK561" i="7"/>
  <c r="AK567" i="7" s="1"/>
  <c r="U561" i="7"/>
  <c r="U567" i="7" s="1"/>
  <c r="AQ560" i="7"/>
  <c r="AQ562" i="7" s="1"/>
  <c r="AA560" i="7"/>
  <c r="AA177" i="7" s="1"/>
  <c r="BB560" i="7"/>
  <c r="BB177" i="7" s="1"/>
  <c r="AF561" i="7"/>
  <c r="AF567" i="7" s="1"/>
  <c r="AB561" i="7"/>
  <c r="AB567" i="7" s="1"/>
  <c r="BD561" i="7"/>
  <c r="BD567" i="7" s="1"/>
  <c r="J561" i="7"/>
  <c r="J567" i="7" s="1"/>
  <c r="O561" i="7"/>
  <c r="O567" i="7" s="1"/>
  <c r="H560" i="7"/>
  <c r="H177" i="7" s="1"/>
  <c r="O560" i="7"/>
  <c r="O177" i="7" s="1"/>
  <c r="S560" i="7"/>
  <c r="S177" i="7" s="1"/>
  <c r="T561" i="7"/>
  <c r="T567" i="7" s="1"/>
  <c r="BA694" i="7"/>
  <c r="BA270" i="7" s="1"/>
  <c r="AL694" i="7"/>
  <c r="AL696" i="7" s="1"/>
  <c r="AK694" i="7"/>
  <c r="AK270" i="7" s="1"/>
  <c r="AM695" i="7"/>
  <c r="W695" i="7"/>
  <c r="W701" i="7" s="1"/>
  <c r="AY695" i="7"/>
  <c r="AY701" i="7" s="1"/>
  <c r="AQ694" i="7"/>
  <c r="AS695" i="7"/>
  <c r="AS701" i="7" s="1"/>
  <c r="AG694" i="7"/>
  <c r="BC694" i="7"/>
  <c r="BC270" i="7" s="1"/>
  <c r="AW695" i="7"/>
  <c r="AE694" i="7"/>
  <c r="AZ694" i="7"/>
  <c r="AZ270" i="7" s="1"/>
  <c r="AK695" i="7"/>
  <c r="AK701" i="7" s="1"/>
  <c r="AD694" i="7"/>
  <c r="AD270" i="7" s="1"/>
  <c r="AT694" i="7"/>
  <c r="AB695" i="7"/>
  <c r="AB701" i="7" s="1"/>
  <c r="AR695" i="7"/>
  <c r="AR701" i="7" s="1"/>
  <c r="BE695" i="7"/>
  <c r="BE701" i="7" s="1"/>
  <c r="AR694" i="7"/>
  <c r="AS694" i="7"/>
  <c r="AS270" i="7" s="1"/>
  <c r="AX695" i="7"/>
  <c r="AX701" i="7" s="1"/>
  <c r="AC694" i="7"/>
  <c r="AG695" i="7"/>
  <c r="AG701" i="7" s="1"/>
  <c r="W694" i="7"/>
  <c r="AY694" i="7"/>
  <c r="AY270" i="7" s="1"/>
  <c r="BB695" i="7"/>
  <c r="AN694" i="7"/>
  <c r="AA695" i="7"/>
  <c r="AA701" i="7" s="1"/>
  <c r="BC695" i="7"/>
  <c r="BC701" i="7" s="1"/>
  <c r="AJ694" i="7"/>
  <c r="BE694" i="7"/>
  <c r="AP695" i="7"/>
  <c r="AH694" i="7"/>
  <c r="AH270" i="7" s="1"/>
  <c r="AX694" i="7"/>
  <c r="AF695" i="7"/>
  <c r="AF701" i="7" s="1"/>
  <c r="AV695" i="7"/>
  <c r="AV701" i="7" s="1"/>
  <c r="AC695" i="7"/>
  <c r="AC701" i="7" s="1"/>
  <c r="AI694" i="7"/>
  <c r="AI270" i="7" s="1"/>
  <c r="BD694" i="7"/>
  <c r="AF694" i="7"/>
  <c r="AF270" i="7" s="1"/>
  <c r="AV694" i="7"/>
  <c r="AV270" i="7" s="1"/>
  <c r="AU694" i="7"/>
  <c r="BA695" i="7"/>
  <c r="BB694" i="7"/>
  <c r="BB270" i="7" s="1"/>
  <c r="AZ695" i="7"/>
  <c r="AZ701" i="7" s="1"/>
  <c r="H694" i="7"/>
  <c r="H270" i="7" s="1"/>
  <c r="R694" i="7"/>
  <c r="R270" i="7" s="1"/>
  <c r="M694" i="7"/>
  <c r="N694" i="7"/>
  <c r="N270" i="7" s="1"/>
  <c r="K695" i="7"/>
  <c r="K701" i="7" s="1"/>
  <c r="J695" i="7"/>
  <c r="M695" i="7"/>
  <c r="M701" i="7" s="1"/>
  <c r="I695" i="7"/>
  <c r="I701" i="7" s="1"/>
  <c r="AL695" i="7"/>
  <c r="AL701" i="7" s="1"/>
  <c r="AD695" i="7"/>
  <c r="AD701" i="7" s="1"/>
  <c r="AM694" i="7"/>
  <c r="AM270" i="7" s="1"/>
  <c r="Z695" i="7"/>
  <c r="Z701" i="7" s="1"/>
  <c r="Z694" i="7"/>
  <c r="Z270" i="7" s="1"/>
  <c r="X695" i="7"/>
  <c r="X701" i="7" s="1"/>
  <c r="K694" i="7"/>
  <c r="K270" i="7" s="1"/>
  <c r="P695" i="7"/>
  <c r="P701" i="7" s="1"/>
  <c r="U694" i="7"/>
  <c r="L695" i="7"/>
  <c r="L701" i="7" s="1"/>
  <c r="S695" i="7"/>
  <c r="S701" i="7" s="1"/>
  <c r="J694" i="7"/>
  <c r="J270" i="7" s="1"/>
  <c r="O695" i="7"/>
  <c r="O701" i="7" s="1"/>
  <c r="V694" i="7"/>
  <c r="R661" i="7"/>
  <c r="H572" i="7"/>
  <c r="H180" i="7" s="1"/>
  <c r="H189" i="7" s="1"/>
  <c r="AL583" i="7"/>
  <c r="AL87" i="7"/>
  <c r="AL96" i="7" s="1"/>
  <c r="N74" i="7"/>
  <c r="AD168" i="7"/>
  <c r="H528" i="7"/>
  <c r="D141" i="8"/>
  <c r="D146" i="8"/>
  <c r="D170" i="8"/>
  <c r="R364" i="4"/>
  <c r="S364" i="4"/>
  <c r="Z364" i="4"/>
  <c r="G243" i="17"/>
  <c r="H259" i="17" s="1"/>
  <c r="G243" i="4"/>
  <c r="G254" i="4" s="1"/>
  <c r="G256" i="4" s="1"/>
  <c r="H253" i="4" s="1"/>
  <c r="L49" i="1"/>
  <c r="J33" i="16" s="1"/>
  <c r="X129" i="17"/>
  <c r="X165" i="17"/>
  <c r="Z844" i="7"/>
  <c r="Q408" i="7"/>
  <c r="W583" i="7"/>
  <c r="K74" i="7"/>
  <c r="AX527" i="7"/>
  <c r="AX528" i="7" s="1"/>
  <c r="BD527" i="7"/>
  <c r="AH527" i="7"/>
  <c r="AH528" i="7" s="1"/>
  <c r="AN527" i="7"/>
  <c r="AN135" i="7" s="1"/>
  <c r="AN144" i="7" s="1"/>
  <c r="R527" i="7"/>
  <c r="AS527" i="7"/>
  <c r="AS135" i="7" s="1"/>
  <c r="X527" i="7"/>
  <c r="N216" i="7"/>
  <c r="AU262" i="7"/>
  <c r="T92" i="8"/>
  <c r="N26" i="18"/>
  <c r="C481" i="18"/>
  <c r="C629" i="18"/>
  <c r="BB87" i="7"/>
  <c r="BB96" i="7" s="1"/>
  <c r="W661" i="7"/>
  <c r="U162" i="8"/>
  <c r="G87" i="4"/>
  <c r="G97" i="4" s="1"/>
  <c r="H181" i="7"/>
  <c r="H190" i="7" s="1"/>
  <c r="H167" i="7"/>
  <c r="H166" i="7" s="1"/>
  <c r="H172" i="7" s="1"/>
  <c r="H169" i="7"/>
  <c r="S34" i="6"/>
  <c r="X77" i="17"/>
  <c r="X41" i="17"/>
  <c r="V39" i="17"/>
  <c r="V75" i="17"/>
  <c r="V144" i="8"/>
  <c r="G220" i="4"/>
  <c r="Y144" i="8"/>
  <c r="Y147" i="8" s="1"/>
  <c r="G220" i="17"/>
  <c r="I227" i="17" s="1"/>
  <c r="X144" i="8"/>
  <c r="W144" i="8"/>
  <c r="W147" i="8" s="1"/>
  <c r="Y129" i="17"/>
  <c r="Y165" i="17"/>
  <c r="Q377" i="17"/>
  <c r="Y377" i="17"/>
  <c r="AA128" i="4"/>
  <c r="AA154" i="4"/>
  <c r="AD717" i="7"/>
  <c r="AE122" i="7"/>
  <c r="BC582" i="7"/>
  <c r="AO581" i="7"/>
  <c r="AO178" i="7" s="1"/>
  <c r="S76" i="8"/>
  <c r="W74" i="8"/>
  <c r="Q24" i="18" s="1"/>
  <c r="P271" i="17"/>
  <c r="P33" i="17"/>
  <c r="P41" i="17" s="1"/>
  <c r="Y207" i="17"/>
  <c r="Y213" i="17" s="1"/>
  <c r="K206" i="17"/>
  <c r="K28" i="17" s="1"/>
  <c r="K72" i="17" s="1"/>
  <c r="P377" i="17"/>
  <c r="O129" i="17"/>
  <c r="O165" i="17"/>
  <c r="L316" i="17"/>
  <c r="L122" i="17" s="1"/>
  <c r="L130" i="17" s="1"/>
  <c r="R75" i="17"/>
  <c r="M165" i="17"/>
  <c r="N24" i="18"/>
  <c r="C631" i="18"/>
  <c r="AZ41" i="7"/>
  <c r="AZ50" i="7" s="1"/>
  <c r="AS770" i="7"/>
  <c r="AS774" i="7" s="1"/>
  <c r="AR343" i="7"/>
  <c r="AR40" i="7" s="1"/>
  <c r="AR49" i="7" s="1"/>
  <c r="AQ770" i="7"/>
  <c r="AM770" i="7"/>
  <c r="AM774" i="7" s="1"/>
  <c r="AM343" i="7"/>
  <c r="AM40" i="7" s="1"/>
  <c r="AM49" i="7" s="1"/>
  <c r="AJ770" i="7"/>
  <c r="AJ774" i="7" s="1"/>
  <c r="AI343" i="7"/>
  <c r="AI40" i="7" s="1"/>
  <c r="AI49" i="7" s="1"/>
  <c r="AH343" i="7"/>
  <c r="AH40" i="7" s="1"/>
  <c r="AH49" i="7" s="1"/>
  <c r="AF770" i="7"/>
  <c r="Y770" i="7"/>
  <c r="V770" i="7"/>
  <c r="V774" i="7" s="1"/>
  <c r="V776" i="7" s="1"/>
  <c r="V34" i="7" s="1"/>
  <c r="U343" i="7"/>
  <c r="U40" i="7" s="1"/>
  <c r="U49" i="7" s="1"/>
  <c r="Q770" i="7"/>
  <c r="M343" i="7"/>
  <c r="M40" i="7" s="1"/>
  <c r="M49" i="7" s="1"/>
  <c r="C19" i="9"/>
  <c r="H310" i="7"/>
  <c r="H316" i="7" s="1"/>
  <c r="I309" i="7"/>
  <c r="J310" i="7"/>
  <c r="J316" i="7" s="1"/>
  <c r="K310" i="7"/>
  <c r="K316" i="7" s="1"/>
  <c r="M309" i="7"/>
  <c r="M36" i="7" s="1"/>
  <c r="N309" i="7"/>
  <c r="O310" i="7"/>
  <c r="O316" i="7" s="1"/>
  <c r="Q310" i="7"/>
  <c r="Q316" i="7" s="1"/>
  <c r="R310" i="7"/>
  <c r="R316" i="7" s="1"/>
  <c r="U310" i="7"/>
  <c r="U316" i="7" s="1"/>
  <c r="V310" i="7"/>
  <c r="V316" i="7" s="1"/>
  <c r="Y310" i="7"/>
  <c r="Y316" i="7" s="1"/>
  <c r="AF310" i="7"/>
  <c r="AF316" i="7" s="1"/>
  <c r="AH309" i="7"/>
  <c r="AH36" i="7" s="1"/>
  <c r="AI310" i="7"/>
  <c r="AI316" i="7" s="1"/>
  <c r="AJ310" i="7"/>
  <c r="AJ316" i="7" s="1"/>
  <c r="AK310" i="7"/>
  <c r="AK316" i="7" s="1"/>
  <c r="AM309" i="7"/>
  <c r="AM36" i="7" s="1"/>
  <c r="AN309" i="7"/>
  <c r="AN36" i="7" s="1"/>
  <c r="AO310" i="7"/>
  <c r="AO316" i="7" s="1"/>
  <c r="AP310" i="7"/>
  <c r="AP316" i="7" s="1"/>
  <c r="AQ310" i="7"/>
  <c r="AQ316" i="7" s="1"/>
  <c r="AR309" i="7"/>
  <c r="AS310" i="7"/>
  <c r="AS316" i="7" s="1"/>
  <c r="AT310" i="7"/>
  <c r="AT316" i="7" s="1"/>
  <c r="AV309" i="7"/>
  <c r="AV36" i="7" s="1"/>
  <c r="AW310" i="7"/>
  <c r="AW316" i="7" s="1"/>
  <c r="AZ309" i="7"/>
  <c r="AZ36" i="7" s="1"/>
  <c r="BA309" i="7"/>
  <c r="BA36" i="7" s="1"/>
  <c r="BB309" i="7"/>
  <c r="BB36" i="7" s="1"/>
  <c r="T249" i="4"/>
  <c r="T255" i="4" s="1"/>
  <c r="U249" i="4"/>
  <c r="U255" i="4" s="1"/>
  <c r="V249" i="4"/>
  <c r="V255" i="4" s="1"/>
  <c r="W249" i="4"/>
  <c r="W255" i="4" s="1"/>
  <c r="X248" i="4"/>
  <c r="X30" i="4" s="1"/>
  <c r="X74" i="4" s="1"/>
  <c r="G201" i="4"/>
  <c r="K206" i="4" s="1"/>
  <c r="V143" i="8"/>
  <c r="V89" i="8" s="1"/>
  <c r="P38" i="18" s="1"/>
  <c r="X143" i="8"/>
  <c r="AA377" i="17"/>
  <c r="Z377" i="17"/>
  <c r="O346" i="17"/>
  <c r="P346" i="17"/>
  <c r="Z346" i="17"/>
  <c r="Z123" i="17" s="1"/>
  <c r="AQ311" i="7"/>
  <c r="AO332" i="7"/>
  <c r="K770" i="7"/>
  <c r="K774" i="7" s="1"/>
  <c r="I770" i="7"/>
  <c r="J770" i="7"/>
  <c r="P770" i="7"/>
  <c r="S770" i="7"/>
  <c r="S774" i="7" s="1"/>
  <c r="W770" i="7"/>
  <c r="X770" i="7"/>
  <c r="Z770" i="7"/>
  <c r="Z774" i="7" s="1"/>
  <c r="AC770" i="7"/>
  <c r="AC774" i="7" s="1"/>
  <c r="AD770" i="7"/>
  <c r="AD774" i="7" s="1"/>
  <c r="AE770" i="7"/>
  <c r="AU770" i="7"/>
  <c r="AU774" i="7" s="1"/>
  <c r="AU776" i="7" s="1"/>
  <c r="AU34" i="7" s="1"/>
  <c r="AX770" i="7"/>
  <c r="AY770" i="7"/>
  <c r="BC770" i="7"/>
  <c r="BD770" i="7"/>
  <c r="BD774" i="7" s="1"/>
  <c r="BD776" i="7" s="1"/>
  <c r="BD34" i="7" s="1"/>
  <c r="BE770" i="7"/>
  <c r="BE774" i="7" s="1"/>
  <c r="BE776" i="7" s="1"/>
  <c r="BE34" i="7" s="1"/>
  <c r="K343" i="7"/>
  <c r="K40" i="7" s="1"/>
  <c r="K49" i="7" s="1"/>
  <c r="P343" i="7"/>
  <c r="P40" i="7" s="1"/>
  <c r="P49" i="7" s="1"/>
  <c r="S343" i="7"/>
  <c r="S40" i="7" s="1"/>
  <c r="S49" i="7" s="1"/>
  <c r="W343" i="7"/>
  <c r="W40" i="7" s="1"/>
  <c r="W49" i="7" s="1"/>
  <c r="X343" i="7"/>
  <c r="X40" i="7" s="1"/>
  <c r="X49" i="7" s="1"/>
  <c r="Z343" i="7"/>
  <c r="Z40" i="7" s="1"/>
  <c r="Z49" i="7" s="1"/>
  <c r="AC343" i="7"/>
  <c r="AC40" i="7" s="1"/>
  <c r="AC49" i="7" s="1"/>
  <c r="AD343" i="7"/>
  <c r="AD40" i="7" s="1"/>
  <c r="AD49" i="7" s="1"/>
  <c r="AE343" i="7"/>
  <c r="AE40" i="7" s="1"/>
  <c r="AE49" i="7" s="1"/>
  <c r="AF343" i="7"/>
  <c r="AF40" i="7" s="1"/>
  <c r="AF49" i="7" s="1"/>
  <c r="AJ343" i="7"/>
  <c r="AJ40" i="7" s="1"/>
  <c r="AJ49" i="7" s="1"/>
  <c r="AP343" i="7"/>
  <c r="AP40" i="7" s="1"/>
  <c r="AP49" i="7" s="1"/>
  <c r="AQ343" i="7"/>
  <c r="AQ40" i="7" s="1"/>
  <c r="AQ49" i="7" s="1"/>
  <c r="AS343" i="7"/>
  <c r="AS40" i="7" s="1"/>
  <c r="AS49" i="7" s="1"/>
  <c r="AU343" i="7"/>
  <c r="AU40" i="7" s="1"/>
  <c r="AU49" i="7" s="1"/>
  <c r="AX343" i="7"/>
  <c r="AX40" i="7" s="1"/>
  <c r="AX49" i="7" s="1"/>
  <c r="AY343" i="7"/>
  <c r="AY40" i="7" s="1"/>
  <c r="AY49" i="7" s="1"/>
  <c r="BC343" i="7"/>
  <c r="BC40" i="7" s="1"/>
  <c r="BC49" i="7" s="1"/>
  <c r="BD343" i="7"/>
  <c r="BD40" i="7" s="1"/>
  <c r="BD49" i="7" s="1"/>
  <c r="BE343" i="7"/>
  <c r="BE40" i="7" s="1"/>
  <c r="BE49" i="7" s="1"/>
  <c r="H359" i="17"/>
  <c r="I359" i="17"/>
  <c r="I363" i="17" s="1"/>
  <c r="T359" i="17"/>
  <c r="T363" i="17" s="1"/>
  <c r="Y359" i="17"/>
  <c r="R377" i="17"/>
  <c r="J377" i="17"/>
  <c r="L30" i="1"/>
  <c r="J9" i="16"/>
  <c r="T248" i="17"/>
  <c r="T250" i="17" s="1"/>
  <c r="V248" i="17"/>
  <c r="V30" i="17" s="1"/>
  <c r="V74" i="17" s="1"/>
  <c r="I240" i="17"/>
  <c r="I32" i="17" s="1"/>
  <c r="I40" i="17" s="1"/>
  <c r="N240" i="17"/>
  <c r="N32" i="17" s="1"/>
  <c r="N40" i="17" s="1"/>
  <c r="T240" i="17"/>
  <c r="T32" i="17" s="1"/>
  <c r="T40" i="17" s="1"/>
  <c r="Y240" i="17"/>
  <c r="Y32" i="17" s="1"/>
  <c r="Y76" i="17" s="1"/>
  <c r="AA240" i="17"/>
  <c r="AA32" i="17" s="1"/>
  <c r="N84" i="1"/>
  <c r="G365" i="4"/>
  <c r="O696" i="7"/>
  <c r="AL844" i="7"/>
  <c r="BA844" i="7"/>
  <c r="AQ844" i="7"/>
  <c r="G846" i="7"/>
  <c r="AC844" i="7"/>
  <c r="AC846" i="7" s="1"/>
  <c r="AC268" i="7" s="1"/>
  <c r="P844" i="7"/>
  <c r="J844" i="7"/>
  <c r="AX844" i="7"/>
  <c r="AX846" i="7" s="1"/>
  <c r="AX268" i="7" s="1"/>
  <c r="AM717" i="7"/>
  <c r="AD696" i="7"/>
  <c r="AZ759" i="7"/>
  <c r="AU759" i="7"/>
  <c r="K844" i="7"/>
  <c r="Q844" i="7"/>
  <c r="R844" i="7"/>
  <c r="X696" i="7"/>
  <c r="AD846" i="7"/>
  <c r="AD268" i="7" s="1"/>
  <c r="AE844" i="7"/>
  <c r="H844" i="7"/>
  <c r="M844" i="7"/>
  <c r="M846" i="7" s="1"/>
  <c r="M268" i="7" s="1"/>
  <c r="AB844" i="7"/>
  <c r="AH844" i="7"/>
  <c r="K738" i="7"/>
  <c r="Z717" i="7"/>
  <c r="AW759" i="7"/>
  <c r="AS759" i="7"/>
  <c r="AE738" i="7"/>
  <c r="AX717" i="7"/>
  <c r="Q224" i="7"/>
  <c r="BB224" i="7"/>
  <c r="K682" i="7"/>
  <c r="AI666" i="7"/>
  <c r="U619" i="7"/>
  <c r="T640" i="7"/>
  <c r="AM619" i="7"/>
  <c r="AR229" i="7"/>
  <c r="AR238" i="7" s="1"/>
  <c r="Q229" i="7"/>
  <c r="Q238" i="7" s="1"/>
  <c r="AV682" i="7"/>
  <c r="AX645" i="7"/>
  <c r="AM225" i="7"/>
  <c r="AJ831" i="7"/>
  <c r="AB619" i="7"/>
  <c r="AL661" i="7"/>
  <c r="P682" i="7"/>
  <c r="AB661" i="7"/>
  <c r="Q640" i="7"/>
  <c r="AW640" i="7"/>
  <c r="AF831" i="7"/>
  <c r="AF832" i="7" s="1"/>
  <c r="AF222" i="7" s="1"/>
  <c r="O619" i="7"/>
  <c r="T645" i="7"/>
  <c r="AL619" i="7"/>
  <c r="AT682" i="7"/>
  <c r="AV604" i="7"/>
  <c r="BA816" i="7"/>
  <c r="W181" i="7"/>
  <c r="W190" i="7" s="1"/>
  <c r="AM181" i="7"/>
  <c r="AM190" i="7" s="1"/>
  <c r="AS816" i="7"/>
  <c r="I816" i="7"/>
  <c r="AL604" i="7"/>
  <c r="AH541" i="7"/>
  <c r="AI816" i="7"/>
  <c r="AJ816" i="7"/>
  <c r="N816" i="7"/>
  <c r="U816" i="7"/>
  <c r="AK816" i="7"/>
  <c r="AK818" i="7" s="1"/>
  <c r="AK174" i="7" s="1"/>
  <c r="AK817" i="7"/>
  <c r="R583" i="7"/>
  <c r="K816" i="7"/>
  <c r="AU816" i="7"/>
  <c r="AF816" i="7"/>
  <c r="BE562" i="7"/>
  <c r="AP817" i="7"/>
  <c r="BC816" i="7"/>
  <c r="AH816" i="7"/>
  <c r="T816" i="7"/>
  <c r="AO604" i="7"/>
  <c r="BD816" i="7"/>
  <c r="BB816" i="7"/>
  <c r="AV816" i="7"/>
  <c r="AA816" i="7"/>
  <c r="AZ816" i="7"/>
  <c r="AO816" i="7"/>
  <c r="BB562" i="7"/>
  <c r="BB583" i="7"/>
  <c r="X541" i="7"/>
  <c r="O135" i="7"/>
  <c r="O144" i="7" s="1"/>
  <c r="AV528" i="7"/>
  <c r="AG465" i="7"/>
  <c r="T528" i="7"/>
  <c r="AT465" i="7"/>
  <c r="AU507" i="7"/>
  <c r="BE408" i="7"/>
  <c r="H450" i="7"/>
  <c r="AF790" i="7"/>
  <c r="AF80" i="7" s="1"/>
  <c r="V789" i="7"/>
  <c r="N789" i="7"/>
  <c r="N790" i="7" s="1"/>
  <c r="N80" i="7" s="1"/>
  <c r="BC789" i="7"/>
  <c r="AI789" i="7"/>
  <c r="AH789" i="7"/>
  <c r="AH790" i="7" s="1"/>
  <c r="AH80" i="7" s="1"/>
  <c r="BA789" i="7"/>
  <c r="BA790" i="7" s="1"/>
  <c r="BA80" i="7" s="1"/>
  <c r="BE789" i="7"/>
  <c r="Z789" i="7"/>
  <c r="AE789" i="7"/>
  <c r="O789" i="7"/>
  <c r="BB789" i="7"/>
  <c r="BB790" i="7" s="1"/>
  <c r="BB80" i="7" s="1"/>
  <c r="AX87" i="7"/>
  <c r="AX96" i="7" s="1"/>
  <c r="AS450" i="7"/>
  <c r="AO408" i="7"/>
  <c r="U789" i="7"/>
  <c r="K790" i="7"/>
  <c r="K80" i="7" s="1"/>
  <c r="T789" i="7"/>
  <c r="T790" i="7" s="1"/>
  <c r="T80" i="7" s="1"/>
  <c r="AZ450" i="7"/>
  <c r="AN789" i="7"/>
  <c r="I789" i="7"/>
  <c r="I790" i="7" s="1"/>
  <c r="I80" i="7" s="1"/>
  <c r="AK789" i="7"/>
  <c r="AD789" i="7"/>
  <c r="AJ789" i="7"/>
  <c r="R789" i="7"/>
  <c r="AA789" i="7"/>
  <c r="AB789" i="7"/>
  <c r="J789" i="7"/>
  <c r="Y789" i="7"/>
  <c r="AQ789" i="7"/>
  <c r="L789" i="7"/>
  <c r="U450" i="7"/>
  <c r="AF450" i="7"/>
  <c r="AA408" i="7"/>
  <c r="Q413" i="7"/>
  <c r="AL789" i="7"/>
  <c r="AS789" i="7"/>
  <c r="AR374" i="7"/>
  <c r="BE311" i="7"/>
  <c r="BE51" i="7" s="1"/>
  <c r="AZ775" i="7"/>
  <c r="AY775" i="7"/>
  <c r="AW774" i="7"/>
  <c r="AW332" i="7"/>
  <c r="AN774" i="7"/>
  <c r="AN776" i="7" s="1"/>
  <c r="AN34" i="7" s="1"/>
  <c r="W775" i="7"/>
  <c r="O775" i="7"/>
  <c r="N775" i="7"/>
  <c r="AZ774" i="7"/>
  <c r="AY774" i="7"/>
  <c r="AV775" i="7"/>
  <c r="AR775" i="7"/>
  <c r="AR776" i="7" s="1"/>
  <c r="AR34" i="7" s="1"/>
  <c r="AR311" i="7"/>
  <c r="AO774" i="7"/>
  <c r="AI774" i="7"/>
  <c r="Q37" i="18"/>
  <c r="W88" i="8"/>
  <c r="Y88" i="8"/>
  <c r="S37" i="18" s="1"/>
  <c r="Y87" i="8"/>
  <c r="S36" i="18" s="1"/>
  <c r="X87" i="8"/>
  <c r="R36" i="18" s="1"/>
  <c r="X86" i="8"/>
  <c r="R35" i="18" s="1"/>
  <c r="P34" i="18"/>
  <c r="V85" i="8"/>
  <c r="V84" i="8"/>
  <c r="P33" i="18" s="1"/>
  <c r="Z248" i="17"/>
  <c r="Z30" i="17" s="1"/>
  <c r="Z74" i="17" s="1"/>
  <c r="Y248" i="4"/>
  <c r="Y30" i="4" s="1"/>
  <c r="Y74" i="4" s="1"/>
  <c r="T207" i="17"/>
  <c r="M303" i="17"/>
  <c r="M119" i="17" s="1"/>
  <c r="M163" i="17" s="1"/>
  <c r="S207" i="17"/>
  <c r="S213" i="17" s="1"/>
  <c r="M207" i="4"/>
  <c r="M213" i="4" s="1"/>
  <c r="H259" i="4"/>
  <c r="AA304" i="17"/>
  <c r="AA310" i="17" s="1"/>
  <c r="S325" i="17"/>
  <c r="S331" i="17" s="1"/>
  <c r="Q324" i="17"/>
  <c r="Q120" i="17" s="1"/>
  <c r="N303" i="17"/>
  <c r="N119" i="17" s="1"/>
  <c r="N163" i="17" s="1"/>
  <c r="H314" i="17"/>
  <c r="Y304" i="17"/>
  <c r="Y310" i="17" s="1"/>
  <c r="S167" i="17"/>
  <c r="L56" i="1"/>
  <c r="J38" i="16" s="1"/>
  <c r="Y207" i="4"/>
  <c r="T271" i="17"/>
  <c r="Z359" i="17"/>
  <c r="R359" i="17"/>
  <c r="H64" i="4"/>
  <c r="T64" i="4"/>
  <c r="I347" i="4"/>
  <c r="R154" i="4"/>
  <c r="L359" i="17"/>
  <c r="L363" i="17" s="1"/>
  <c r="L365" i="17" s="1"/>
  <c r="L26" i="17" s="1"/>
  <c r="L68" i="17" s="1"/>
  <c r="L91" i="17" s="1"/>
  <c r="N373" i="17"/>
  <c r="N377" i="17" s="1"/>
  <c r="N379" i="17" s="1"/>
  <c r="N116" i="17" s="1"/>
  <c r="N158" i="17" s="1"/>
  <c r="N181" i="17" s="1"/>
  <c r="L373" i="17"/>
  <c r="L377" i="17" s="1"/>
  <c r="L379" i="17" s="1"/>
  <c r="L116" i="17" s="1"/>
  <c r="L158" i="17" s="1"/>
  <c r="L181" i="17" s="1"/>
  <c r="H373" i="17"/>
  <c r="H377" i="17" s="1"/>
  <c r="S377" i="4"/>
  <c r="S359" i="17"/>
  <c r="S363" i="17" s="1"/>
  <c r="N359" i="17"/>
  <c r="N363" i="17" s="1"/>
  <c r="N365" i="17" s="1"/>
  <c r="N26" i="17" s="1"/>
  <c r="N68" i="17" s="1"/>
  <c r="N91" i="17" s="1"/>
  <c r="J64" i="4"/>
  <c r="N154" i="4"/>
  <c r="T154" i="4"/>
  <c r="U154" i="4"/>
  <c r="AA359" i="17"/>
  <c r="X359" i="17"/>
  <c r="X363" i="17" s="1"/>
  <c r="W359" i="17"/>
  <c r="W363" i="17" s="1"/>
  <c r="W365" i="17" s="1"/>
  <c r="W26" i="17" s="1"/>
  <c r="W68" i="17" s="1"/>
  <c r="W91" i="17" s="1"/>
  <c r="U359" i="17"/>
  <c r="Q359" i="17"/>
  <c r="O359" i="17"/>
  <c r="O363" i="17" s="1"/>
  <c r="M359" i="17"/>
  <c r="M363" i="17" s="1"/>
  <c r="J359" i="17"/>
  <c r="J363" i="17" s="1"/>
  <c r="U38" i="4"/>
  <c r="Q363" i="4"/>
  <c r="Y377" i="4"/>
  <c r="V128" i="4"/>
  <c r="BB845" i="7"/>
  <c r="AI845" i="7"/>
  <c r="AI846" i="7" s="1"/>
  <c r="AI268" i="7" s="1"/>
  <c r="AH845" i="7"/>
  <c r="AH846" i="7" s="1"/>
  <c r="AH268" i="7" s="1"/>
  <c r="Q845" i="7"/>
  <c r="Q846" i="7" s="1"/>
  <c r="Q268" i="7" s="1"/>
  <c r="BC845" i="7"/>
  <c r="BC846" i="7" s="1"/>
  <c r="BC268" i="7" s="1"/>
  <c r="AQ845" i="7"/>
  <c r="BE845" i="7"/>
  <c r="AF845" i="7"/>
  <c r="AF846" i="7" s="1"/>
  <c r="AF268" i="7" s="1"/>
  <c r="AP845" i="7"/>
  <c r="AP846" i="7" s="1"/>
  <c r="AP268" i="7" s="1"/>
  <c r="U845" i="7"/>
  <c r="AU845" i="7"/>
  <c r="AU846" i="7" s="1"/>
  <c r="AU268" i="7" s="1"/>
  <c r="BD845" i="7"/>
  <c r="R845" i="7"/>
  <c r="V845" i="7"/>
  <c r="AE845" i="7"/>
  <c r="AE846" i="7" s="1"/>
  <c r="AE268" i="7" s="1"/>
  <c r="Y845" i="7"/>
  <c r="Y846" i="7" s="1"/>
  <c r="Y268" i="7" s="1"/>
  <c r="AG845" i="7"/>
  <c r="AG846" i="7" s="1"/>
  <c r="AG268" i="7" s="1"/>
  <c r="K845" i="7"/>
  <c r="I845" i="7"/>
  <c r="H845" i="7"/>
  <c r="H846" i="7" s="1"/>
  <c r="H268" i="7" s="1"/>
  <c r="W845" i="7"/>
  <c r="W846" i="7" s="1"/>
  <c r="W268" i="7" s="1"/>
  <c r="T845" i="7"/>
  <c r="O845" i="7"/>
  <c r="O846" i="7" s="1"/>
  <c r="O268" i="7" s="1"/>
  <c r="AZ845" i="7"/>
  <c r="AZ846" i="7" s="1"/>
  <c r="AZ268" i="7" s="1"/>
  <c r="S845" i="7"/>
  <c r="AV845" i="7"/>
  <c r="AV846" i="7" s="1"/>
  <c r="AV268" i="7" s="1"/>
  <c r="AM845" i="7"/>
  <c r="AM846" i="7" s="1"/>
  <c r="AM268" i="7" s="1"/>
  <c r="J845" i="7"/>
  <c r="AO845" i="7"/>
  <c r="AK845" i="7"/>
  <c r="AK846" i="7" s="1"/>
  <c r="AK268" i="7" s="1"/>
  <c r="P846" i="7"/>
  <c r="P268" i="7" s="1"/>
  <c r="J846" i="7"/>
  <c r="J268" i="7" s="1"/>
  <c r="I270" i="7"/>
  <c r="T624" i="7"/>
  <c r="AE413" i="7"/>
  <c r="AE408" i="7"/>
  <c r="AT392" i="7"/>
  <c r="BB82" i="7"/>
  <c r="AZ82" i="7"/>
  <c r="N87" i="7"/>
  <c r="N96" i="7" s="1"/>
  <c r="N450" i="7"/>
  <c r="AQ87" i="7"/>
  <c r="AQ96" i="7" s="1"/>
  <c r="AQ450" i="7"/>
  <c r="AB604" i="7"/>
  <c r="AB181" i="7"/>
  <c r="AB190" i="7" s="1"/>
  <c r="J604" i="7"/>
  <c r="J181" i="7"/>
  <c r="J190" i="7" s="1"/>
  <c r="Z181" i="7"/>
  <c r="Z190" i="7" s="1"/>
  <c r="Z604" i="7"/>
  <c r="AV546" i="7"/>
  <c r="AV541" i="7"/>
  <c r="AJ135" i="7"/>
  <c r="AJ144" i="7" s="1"/>
  <c r="AJ528" i="7"/>
  <c r="AF682" i="7"/>
  <c r="AF229" i="7"/>
  <c r="AF238" i="7" s="1"/>
  <c r="Y229" i="7"/>
  <c r="Y238" i="7" s="1"/>
  <c r="Y682" i="7"/>
  <c r="AI682" i="7"/>
  <c r="AI229" i="7"/>
  <c r="AI238" i="7" s="1"/>
  <c r="BB645" i="7"/>
  <c r="BB640" i="7"/>
  <c r="AG759" i="7"/>
  <c r="AG275" i="7"/>
  <c r="AG284" i="7" s="1"/>
  <c r="AX270" i="7"/>
  <c r="AI271" i="7"/>
  <c r="AI717" i="7"/>
  <c r="AD624" i="7"/>
  <c r="AD87" i="7"/>
  <c r="AD96" i="7" s="1"/>
  <c r="AD450" i="7"/>
  <c r="AK178" i="7"/>
  <c r="AK583" i="7"/>
  <c r="AW176" i="7"/>
  <c r="AW541" i="7"/>
  <c r="Y701" i="7"/>
  <c r="Y696" i="7"/>
  <c r="BE846" i="7"/>
  <c r="BE268" i="7" s="1"/>
  <c r="BB846" i="7"/>
  <c r="BB268" i="7" s="1"/>
  <c r="N588" i="7"/>
  <c r="N583" i="7"/>
  <c r="I588" i="7"/>
  <c r="I583" i="7"/>
  <c r="Q512" i="7"/>
  <c r="I624" i="7"/>
  <c r="AN392" i="7"/>
  <c r="AV87" i="7"/>
  <c r="AV96" i="7" s="1"/>
  <c r="AV450" i="7"/>
  <c r="AJ87" i="7"/>
  <c r="AJ96" i="7" s="1"/>
  <c r="AJ450" i="7"/>
  <c r="T87" i="7"/>
  <c r="T96" i="7" s="1"/>
  <c r="T450" i="7"/>
  <c r="AM87" i="7"/>
  <c r="AM96" i="7" s="1"/>
  <c r="AM450" i="7"/>
  <c r="AP87" i="7"/>
  <c r="AP96" i="7" s="1"/>
  <c r="AP450" i="7"/>
  <c r="BD450" i="7"/>
  <c r="BD87" i="7"/>
  <c r="BD96" i="7" s="1"/>
  <c r="P604" i="7"/>
  <c r="P181" i="7"/>
  <c r="P190" i="7" s="1"/>
  <c r="AN181" i="7"/>
  <c r="AN190" i="7" s="1"/>
  <c r="AN604" i="7"/>
  <c r="Q604" i="7"/>
  <c r="Q181" i="7"/>
  <c r="Q190" i="7" s="1"/>
  <c r="AG181" i="7"/>
  <c r="AG190" i="7" s="1"/>
  <c r="AG604" i="7"/>
  <c r="AZ135" i="7"/>
  <c r="AZ144" i="7" s="1"/>
  <c r="AZ528" i="7"/>
  <c r="P528" i="7"/>
  <c r="P135" i="7"/>
  <c r="P144" i="7" s="1"/>
  <c r="X229" i="7"/>
  <c r="X238" i="7" s="1"/>
  <c r="X682" i="7"/>
  <c r="AO229" i="7"/>
  <c r="AO238" i="7" s="1"/>
  <c r="AO682" i="7"/>
  <c r="BE682" i="7"/>
  <c r="BE229" i="7"/>
  <c r="BE238" i="7" s="1"/>
  <c r="AE666" i="7"/>
  <c r="AE661" i="7"/>
  <c r="AI486" i="7"/>
  <c r="AO645" i="7"/>
  <c r="AO640" i="7"/>
  <c r="BD226" i="7"/>
  <c r="BD661" i="7"/>
  <c r="BD229" i="7"/>
  <c r="BD238" i="7" s="1"/>
  <c r="AC682" i="7"/>
  <c r="V846" i="7"/>
  <c r="V268" i="7" s="1"/>
  <c r="I846" i="7"/>
  <c r="I268" i="7" s="1"/>
  <c r="AY229" i="7"/>
  <c r="AY238" i="7" s="1"/>
  <c r="BA387" i="7"/>
  <c r="AR845" i="7"/>
  <c r="AR846" i="7" s="1"/>
  <c r="AR268" i="7" s="1"/>
  <c r="Z845" i="7"/>
  <c r="Z846" i="7" s="1"/>
  <c r="Z268" i="7" s="1"/>
  <c r="X845" i="7"/>
  <c r="X846" i="7" s="1"/>
  <c r="X268" i="7" s="1"/>
  <c r="K226" i="7"/>
  <c r="K661" i="7"/>
  <c r="AN450" i="7"/>
  <c r="W427" i="7"/>
  <c r="W84" i="7" s="1"/>
  <c r="P428" i="7"/>
  <c r="P434" i="7" s="1"/>
  <c r="S428" i="7"/>
  <c r="S434" i="7" s="1"/>
  <c r="Y428" i="7"/>
  <c r="Y434" i="7" s="1"/>
  <c r="M427" i="7"/>
  <c r="M84" i="7" s="1"/>
  <c r="Z428" i="7"/>
  <c r="Z434" i="7" s="1"/>
  <c r="R427" i="7"/>
  <c r="R84" i="7" s="1"/>
  <c r="N428" i="7"/>
  <c r="N434" i="7" s="1"/>
  <c r="H428" i="7"/>
  <c r="H434" i="7" s="1"/>
  <c r="Q428" i="7"/>
  <c r="Q434" i="7" s="1"/>
  <c r="K428" i="7"/>
  <c r="K434" i="7" s="1"/>
  <c r="V428" i="7"/>
  <c r="V434" i="7" s="1"/>
  <c r="N427" i="7"/>
  <c r="N84" i="7" s="1"/>
  <c r="X427" i="7"/>
  <c r="X84" i="7" s="1"/>
  <c r="AA427" i="7"/>
  <c r="AA84" i="7" s="1"/>
  <c r="T428" i="7"/>
  <c r="T434" i="7" s="1"/>
  <c r="L427" i="7"/>
  <c r="L84" i="7" s="1"/>
  <c r="X428" i="7"/>
  <c r="X434" i="7" s="1"/>
  <c r="O428" i="7"/>
  <c r="O434" i="7" s="1"/>
  <c r="P427" i="7"/>
  <c r="P84" i="7" s="1"/>
  <c r="G433" i="7"/>
  <c r="G435" i="7" s="1"/>
  <c r="H432" i="7" s="1"/>
  <c r="AA428" i="7"/>
  <c r="AA434" i="7" s="1"/>
  <c r="Q427" i="7"/>
  <c r="V427" i="7"/>
  <c r="V84" i="7" s="1"/>
  <c r="U428" i="7"/>
  <c r="U434" i="7" s="1"/>
  <c r="Z427" i="7"/>
  <c r="Z84" i="7" s="1"/>
  <c r="Y427" i="7"/>
  <c r="Y84" i="7" s="1"/>
  <c r="S427" i="7"/>
  <c r="I428" i="7"/>
  <c r="I434" i="7" s="1"/>
  <c r="J427" i="7"/>
  <c r="J84" i="7" s="1"/>
  <c r="AR604" i="7"/>
  <c r="BC229" i="7"/>
  <c r="BC238" i="7" s="1"/>
  <c r="AA225" i="7"/>
  <c r="AA640" i="7"/>
  <c r="R788" i="7"/>
  <c r="R790" i="7" s="1"/>
  <c r="R80" i="7" s="1"/>
  <c r="P788" i="7"/>
  <c r="P790" i="7" s="1"/>
  <c r="P80" i="7" s="1"/>
  <c r="Q788" i="7"/>
  <c r="Q790" i="7" s="1"/>
  <c r="Q80" i="7" s="1"/>
  <c r="AE788" i="7"/>
  <c r="AY788" i="7"/>
  <c r="AY790" i="7" s="1"/>
  <c r="AY80" i="7" s="1"/>
  <c r="M788" i="7"/>
  <c r="M790" i="7" s="1"/>
  <c r="M80" i="7" s="1"/>
  <c r="AC788" i="7"/>
  <c r="AC790" i="7" s="1"/>
  <c r="AC80" i="7" s="1"/>
  <c r="O788" i="7"/>
  <c r="AW788" i="7"/>
  <c r="AW790" i="7" s="1"/>
  <c r="AW80" i="7" s="1"/>
  <c r="X788" i="7"/>
  <c r="X790" i="7" s="1"/>
  <c r="X80" i="7" s="1"/>
  <c r="AL788" i="7"/>
  <c r="AL790" i="7" s="1"/>
  <c r="AL80" i="7" s="1"/>
  <c r="AS788" i="7"/>
  <c r="AS790" i="7" s="1"/>
  <c r="AS80" i="7" s="1"/>
  <c r="Z788" i="7"/>
  <c r="Z790" i="7" s="1"/>
  <c r="Z80" i="7" s="1"/>
  <c r="U788" i="7"/>
  <c r="AQ788" i="7"/>
  <c r="G790" i="7"/>
  <c r="S788" i="7"/>
  <c r="S790" i="7" s="1"/>
  <c r="S80" i="7" s="1"/>
  <c r="AV788" i="7"/>
  <c r="AV790" i="7" s="1"/>
  <c r="AV80" i="7" s="1"/>
  <c r="BD788" i="7"/>
  <c r="BD790" i="7" s="1"/>
  <c r="BD80" i="7" s="1"/>
  <c r="AU803" i="7"/>
  <c r="AP803" i="7"/>
  <c r="AP804" i="7" s="1"/>
  <c r="AP128" i="7" s="1"/>
  <c r="AH803" i="7"/>
  <c r="AH804" i="7" s="1"/>
  <c r="AH128" i="7" s="1"/>
  <c r="AW803" i="7"/>
  <c r="Z803" i="7"/>
  <c r="R696" i="7"/>
  <c r="AM131" i="7"/>
  <c r="AT470" i="7"/>
  <c r="BC788" i="7"/>
  <c r="BC790" i="7" s="1"/>
  <c r="BC80" i="7" s="1"/>
  <c r="AI788" i="7"/>
  <c r="AI790" i="7" s="1"/>
  <c r="AI80" i="7" s="1"/>
  <c r="AP788" i="7"/>
  <c r="AP790" i="7" s="1"/>
  <c r="AP80" i="7" s="1"/>
  <c r="Y788" i="7"/>
  <c r="Y790" i="7" s="1"/>
  <c r="Y80" i="7" s="1"/>
  <c r="AZ788" i="7"/>
  <c r="AZ790" i="7" s="1"/>
  <c r="AZ80" i="7" s="1"/>
  <c r="J788" i="7"/>
  <c r="J790" i="7" s="1"/>
  <c r="J80" i="7" s="1"/>
  <c r="AA788" i="7"/>
  <c r="AG788" i="7"/>
  <c r="AG790" i="7" s="1"/>
  <c r="AG80" i="7" s="1"/>
  <c r="AB788" i="7"/>
  <c r="N181" i="7"/>
  <c r="N190" i="7" s="1"/>
  <c r="BA845" i="7"/>
  <c r="AL845" i="7"/>
  <c r="AL846" i="7" s="1"/>
  <c r="AL268" i="7" s="1"/>
  <c r="N845" i="7"/>
  <c r="AY845" i="7"/>
  <c r="AY846" i="7" s="1"/>
  <c r="AY268" i="7" s="1"/>
  <c r="BC831" i="7"/>
  <c r="W831" i="7"/>
  <c r="AO831" i="7"/>
  <c r="AO832" i="7" s="1"/>
  <c r="AO222" i="7" s="1"/>
  <c r="AV831" i="7"/>
  <c r="AV832" i="7" s="1"/>
  <c r="AV222" i="7" s="1"/>
  <c r="P831" i="7"/>
  <c r="P832" i="7" s="1"/>
  <c r="P222" i="7" s="1"/>
  <c r="AX831" i="7"/>
  <c r="AP831" i="7"/>
  <c r="AI831" i="7"/>
  <c r="BE831" i="7"/>
  <c r="N831" i="7"/>
  <c r="L831" i="7"/>
  <c r="X831" i="7"/>
  <c r="AB831" i="7"/>
  <c r="H831" i="7"/>
  <c r="R831" i="7"/>
  <c r="BD831" i="7"/>
  <c r="BD832" i="7" s="1"/>
  <c r="BD222" i="7" s="1"/>
  <c r="S831" i="7"/>
  <c r="AN831" i="7"/>
  <c r="AK831" i="7"/>
  <c r="O427" i="7"/>
  <c r="O84" i="7" s="1"/>
  <c r="T427" i="7"/>
  <c r="T84" i="7" s="1"/>
  <c r="M428" i="7"/>
  <c r="M434" i="7" s="1"/>
  <c r="K450" i="7"/>
  <c r="L640" i="7"/>
  <c r="L225" i="7"/>
  <c r="H628" i="7"/>
  <c r="G623" i="7"/>
  <c r="G625" i="7" s="1"/>
  <c r="H622" i="7" s="1"/>
  <c r="N131" i="7"/>
  <c r="AO696" i="7"/>
  <c r="BA701" i="7"/>
  <c r="X271" i="7"/>
  <c r="AJ178" i="7"/>
  <c r="AJ583" i="7"/>
  <c r="AP229" i="7"/>
  <c r="AP238" i="7" s="1"/>
  <c r="AP682" i="7"/>
  <c r="I78" i="7"/>
  <c r="I93" i="7" s="1"/>
  <c r="BC226" i="7"/>
  <c r="BC661" i="7"/>
  <c r="BB776" i="7"/>
  <c r="BB34" i="7" s="1"/>
  <c r="P818" i="7"/>
  <c r="P174" i="7" s="1"/>
  <c r="W788" i="7"/>
  <c r="W790" i="7" s="1"/>
  <c r="W80" i="7" s="1"/>
  <c r="AT788" i="7"/>
  <c r="AT790" i="7" s="1"/>
  <c r="AT80" i="7" s="1"/>
  <c r="AD788" i="7"/>
  <c r="AX788" i="7"/>
  <c r="AX790" i="7" s="1"/>
  <c r="AX80" i="7" s="1"/>
  <c r="N846" i="7"/>
  <c r="N268" i="7" s="1"/>
  <c r="T846" i="7"/>
  <c r="T268" i="7" s="1"/>
  <c r="AO846" i="7"/>
  <c r="AO268" i="7" s="1"/>
  <c r="L816" i="7"/>
  <c r="L818" i="7" s="1"/>
  <c r="L174" i="7" s="1"/>
  <c r="H738" i="7"/>
  <c r="I717" i="7"/>
  <c r="I271" i="7"/>
  <c r="AY512" i="7"/>
  <c r="AY507" i="7"/>
  <c r="AP225" i="7"/>
  <c r="AP640" i="7"/>
  <c r="AN619" i="7"/>
  <c r="BA661" i="7"/>
  <c r="BA226" i="7"/>
  <c r="AV738" i="7"/>
  <c r="AV272" i="7"/>
  <c r="AH738" i="7"/>
  <c r="AJ224" i="7"/>
  <c r="AX332" i="7"/>
  <c r="AX37" i="7"/>
  <c r="AR788" i="7"/>
  <c r="AR790" i="7" s="1"/>
  <c r="AR80" i="7" s="1"/>
  <c r="V788" i="7"/>
  <c r="V790" i="7" s="1"/>
  <c r="V80" i="7" s="1"/>
  <c r="AJ788" i="7"/>
  <c r="AJ790" i="7" s="1"/>
  <c r="AJ80" i="7" s="1"/>
  <c r="AQ816" i="7"/>
  <c r="S816" i="7"/>
  <c r="P816" i="7"/>
  <c r="V816" i="7"/>
  <c r="V818" i="7" s="1"/>
  <c r="V174" i="7" s="1"/>
  <c r="O82" i="7"/>
  <c r="AF131" i="7"/>
  <c r="V408" i="7"/>
  <c r="V83" i="7"/>
  <c r="AK788" i="7"/>
  <c r="BA176" i="7"/>
  <c r="BA541" i="7"/>
  <c r="BA225" i="7"/>
  <c r="BA640" i="7"/>
  <c r="BB272" i="7"/>
  <c r="AG817" i="7"/>
  <c r="AN816" i="7"/>
  <c r="H816" i="7"/>
  <c r="AL816" i="7"/>
  <c r="AC816" i="7"/>
  <c r="AW816" i="7"/>
  <c r="H717" i="7"/>
  <c r="H86" i="7"/>
  <c r="H95" i="7" s="1"/>
  <c r="BD387" i="7"/>
  <c r="AF429" i="7"/>
  <c r="AQ408" i="7"/>
  <c r="AX486" i="7"/>
  <c r="AK507" i="7"/>
  <c r="AB562" i="7"/>
  <c r="AD541" i="7"/>
  <c r="AF717" i="7"/>
  <c r="AF271" i="7"/>
  <c r="Y661" i="7"/>
  <c r="Y738" i="7"/>
  <c r="Y272" i="7"/>
  <c r="V775" i="7"/>
  <c r="T775" i="7"/>
  <c r="K846" i="7"/>
  <c r="K268" i="7" s="1"/>
  <c r="AE830" i="7"/>
  <c r="AY830" i="7"/>
  <c r="AY832" i="7" s="1"/>
  <c r="AY222" i="7" s="1"/>
  <c r="AD816" i="7"/>
  <c r="AT816" i="7"/>
  <c r="O816" i="7"/>
  <c r="AE816" i="7"/>
  <c r="Y816" i="7"/>
  <c r="AX816" i="7"/>
  <c r="Q661" i="7"/>
  <c r="Q239" i="7" s="1"/>
  <c r="Q583" i="7"/>
  <c r="K640" i="7"/>
  <c r="R562" i="7"/>
  <c r="AQ717" i="7"/>
  <c r="AQ271" i="7"/>
  <c r="BC332" i="7"/>
  <c r="AX36" i="7"/>
  <c r="AX311" i="7"/>
  <c r="AT374" i="7"/>
  <c r="AT41" i="7"/>
  <c r="AT50" i="7" s="1"/>
  <c r="U775" i="7"/>
  <c r="AK775" i="7"/>
  <c r="AX775" i="7"/>
  <c r="BC775" i="7"/>
  <c r="BE775" i="7"/>
  <c r="AQ775" i="7"/>
  <c r="AW775" i="7"/>
  <c r="AW776" i="7" s="1"/>
  <c r="AW34" i="7" s="1"/>
  <c r="AV774" i="7"/>
  <c r="AV776" i="7" s="1"/>
  <c r="AV34" i="7" s="1"/>
  <c r="AX774" i="7"/>
  <c r="AX776" i="7" s="1"/>
  <c r="AX34" i="7" s="1"/>
  <c r="BC774" i="7"/>
  <c r="BC776" i="7" s="1"/>
  <c r="BC34" i="7" s="1"/>
  <c r="H374" i="7"/>
  <c r="AL541" i="7"/>
  <c r="AL191" i="7" s="1"/>
  <c r="H682" i="7"/>
  <c r="AC640" i="7"/>
  <c r="BD717" i="7"/>
  <c r="AG541" i="7"/>
  <c r="BB311" i="7"/>
  <c r="AV332" i="7"/>
  <c r="AU311" i="7"/>
  <c r="AN311" i="7"/>
  <c r="AZ661" i="7"/>
  <c r="AS738" i="7"/>
  <c r="AU640" i="7"/>
  <c r="BB332" i="7"/>
  <c r="BA774" i="7"/>
  <c r="BA776" i="7" s="1"/>
  <c r="BA34" i="7" s="1"/>
  <c r="AR332" i="7"/>
  <c r="AN332" i="7"/>
  <c r="AL353" i="7"/>
  <c r="H126" i="7"/>
  <c r="H141" i="7" s="1"/>
  <c r="I172" i="7"/>
  <c r="I187" i="7" s="1"/>
  <c r="R92" i="8"/>
  <c r="R93" i="8" s="1"/>
  <c r="V181" i="8"/>
  <c r="T325" i="4"/>
  <c r="T331" i="4" s="1"/>
  <c r="G309" i="4"/>
  <c r="G311" i="4" s="1"/>
  <c r="H308" i="4" s="1"/>
  <c r="AA324" i="17"/>
  <c r="AA120" i="17" s="1"/>
  <c r="AA164" i="17" s="1"/>
  <c r="W325" i="17"/>
  <c r="W331" i="17" s="1"/>
  <c r="T325" i="17"/>
  <c r="T331" i="17" s="1"/>
  <c r="O325" i="17"/>
  <c r="O331" i="17" s="1"/>
  <c r="N324" i="17"/>
  <c r="N120" i="17" s="1"/>
  <c r="N164" i="17" s="1"/>
  <c r="O304" i="4"/>
  <c r="O310" i="4" s="1"/>
  <c r="W324" i="17"/>
  <c r="W120" i="17" s="1"/>
  <c r="W164" i="17" s="1"/>
  <c r="U325" i="17"/>
  <c r="U331" i="17" s="1"/>
  <c r="L325" i="17"/>
  <c r="L331" i="17" s="1"/>
  <c r="K324" i="17"/>
  <c r="L303" i="4"/>
  <c r="L119" i="4" s="1"/>
  <c r="L163" i="4" s="1"/>
  <c r="G330" i="17"/>
  <c r="G332" i="17" s="1"/>
  <c r="H329" i="17" s="1"/>
  <c r="X325" i="17"/>
  <c r="X331" i="17" s="1"/>
  <c r="Q325" i="17"/>
  <c r="Q331" i="17" s="1"/>
  <c r="P325" i="17"/>
  <c r="P331" i="17" s="1"/>
  <c r="J325" i="17"/>
  <c r="J331" i="17" s="1"/>
  <c r="I324" i="17"/>
  <c r="Q304" i="4"/>
  <c r="Q310" i="4" s="1"/>
  <c r="N303" i="4"/>
  <c r="N119" i="4" s="1"/>
  <c r="N163" i="4" s="1"/>
  <c r="Z347" i="17"/>
  <c r="S347" i="17"/>
  <c r="W92" i="8"/>
  <c r="Q41" i="18" s="1"/>
  <c r="X136" i="8"/>
  <c r="Y136" i="8"/>
  <c r="N47" i="1"/>
  <c r="L31" i="16" s="1"/>
  <c r="G298" i="4"/>
  <c r="W136" i="8"/>
  <c r="R34" i="18"/>
  <c r="N48" i="1"/>
  <c r="L32" i="16" s="1"/>
  <c r="Q34" i="18"/>
  <c r="W76" i="8"/>
  <c r="Q26" i="18" s="1"/>
  <c r="X76" i="8"/>
  <c r="R26" i="18" s="1"/>
  <c r="R32" i="18"/>
  <c r="S32" i="18"/>
  <c r="S39" i="18"/>
  <c r="V136" i="8"/>
  <c r="L41" i="18"/>
  <c r="I76" i="17"/>
  <c r="Q227" i="17"/>
  <c r="Z378" i="17"/>
  <c r="X378" i="17"/>
  <c r="O378" i="17"/>
  <c r="G379" i="17"/>
  <c r="G288" i="17"/>
  <c r="G290" i="17" s="1"/>
  <c r="H287" i="17" s="1"/>
  <c r="Q364" i="17"/>
  <c r="N364" i="17"/>
  <c r="J227" i="17"/>
  <c r="J29" i="17" s="1"/>
  <c r="J73" i="17" s="1"/>
  <c r="AA282" i="17"/>
  <c r="AA118" i="17" s="1"/>
  <c r="AA162" i="17" s="1"/>
  <c r="I365" i="17"/>
  <c r="I26" i="17" s="1"/>
  <c r="I68" i="17" s="1"/>
  <c r="I91" i="17" s="1"/>
  <c r="G233" i="17"/>
  <c r="G235" i="17" s="1"/>
  <c r="H232" i="17" s="1"/>
  <c r="X228" i="17"/>
  <c r="W364" i="17"/>
  <c r="K364" i="17"/>
  <c r="U248" i="8"/>
  <c r="W378" i="17"/>
  <c r="W282" i="17"/>
  <c r="W118" i="17" s="1"/>
  <c r="W162" i="17" s="1"/>
  <c r="V378" i="17"/>
  <c r="T378" i="17"/>
  <c r="S378" i="17"/>
  <c r="AA364" i="17"/>
  <c r="W227" i="17"/>
  <c r="W29" i="17" s="1"/>
  <c r="W73" i="17" s="1"/>
  <c r="N378" i="17"/>
  <c r="M283" i="17"/>
  <c r="M289" i="17" s="1"/>
  <c r="L378" i="17"/>
  <c r="K76" i="17"/>
  <c r="P76" i="17"/>
  <c r="Z227" i="17"/>
  <c r="Z29" i="17" s="1"/>
  <c r="Z73" i="17" s="1"/>
  <c r="Y228" i="17"/>
  <c r="Y234" i="17" s="1"/>
  <c r="U227" i="17"/>
  <c r="U29" i="17" s="1"/>
  <c r="U73" i="17" s="1"/>
  <c r="S227" i="17"/>
  <c r="S29" i="17" s="1"/>
  <c r="S73" i="17" s="1"/>
  <c r="Z76" i="17"/>
  <c r="K249" i="17"/>
  <c r="K255" i="17" s="1"/>
  <c r="Q228" i="17"/>
  <c r="Q234" i="17" s="1"/>
  <c r="W207" i="4"/>
  <c r="W213" i="4" s="1"/>
  <c r="H206" i="4"/>
  <c r="H28" i="4" s="1"/>
  <c r="H72" i="4" s="1"/>
  <c r="O249" i="4"/>
  <c r="O255" i="4" s="1"/>
  <c r="R228" i="17"/>
  <c r="R234" i="17" s="1"/>
  <c r="L228" i="4"/>
  <c r="G212" i="4"/>
  <c r="G214" i="4" s="1"/>
  <c r="H211" i="4" s="1"/>
  <c r="AA227" i="17"/>
  <c r="AA29" i="17" s="1"/>
  <c r="AA73" i="17" s="1"/>
  <c r="W228" i="17"/>
  <c r="W234" i="17" s="1"/>
  <c r="V228" i="17"/>
  <c r="V234" i="17" s="1"/>
  <c r="U228" i="17"/>
  <c r="U234" i="17" s="1"/>
  <c r="R227" i="17"/>
  <c r="P227" i="17"/>
  <c r="P29" i="17" s="1"/>
  <c r="P73" i="17" s="1"/>
  <c r="O228" i="17"/>
  <c r="O234" i="17" s="1"/>
  <c r="N228" i="17"/>
  <c r="N234" i="17" s="1"/>
  <c r="M227" i="17"/>
  <c r="M29" i="17" s="1"/>
  <c r="M73" i="17" s="1"/>
  <c r="L228" i="17"/>
  <c r="L234" i="17" s="1"/>
  <c r="K228" i="17"/>
  <c r="K234" i="17" s="1"/>
  <c r="M249" i="4"/>
  <c r="M255" i="4" s="1"/>
  <c r="Q248" i="4"/>
  <c r="Q30" i="4" s="1"/>
  <c r="Q74" i="4" s="1"/>
  <c r="J248" i="4"/>
  <c r="J30" i="4" s="1"/>
  <c r="J74" i="4" s="1"/>
  <c r="P249" i="4"/>
  <c r="P255" i="4" s="1"/>
  <c r="L249" i="4"/>
  <c r="L255" i="4" s="1"/>
  <c r="I248" i="4"/>
  <c r="I30" i="4" s="1"/>
  <c r="I74" i="4" s="1"/>
  <c r="S248" i="17"/>
  <c r="S30" i="17" s="1"/>
  <c r="S74" i="17" s="1"/>
  <c r="S248" i="4"/>
  <c r="S30" i="4" s="1"/>
  <c r="S74" i="4" s="1"/>
  <c r="I271" i="17"/>
  <c r="I33" i="17"/>
  <c r="I41" i="17" s="1"/>
  <c r="Y363" i="17"/>
  <c r="G365" i="17"/>
  <c r="H363" i="17"/>
  <c r="R363" i="17"/>
  <c r="R365" i="17" s="1"/>
  <c r="R26" i="17" s="1"/>
  <c r="R68" i="17" s="1"/>
  <c r="R91" i="17" s="1"/>
  <c r="Z363" i="17"/>
  <c r="AA40" i="4"/>
  <c r="AA76" i="4"/>
  <c r="Z76" i="4"/>
  <c r="Z40" i="4"/>
  <c r="T270" i="4"/>
  <c r="T33" i="4" s="1"/>
  <c r="L270" i="4"/>
  <c r="K359" i="4"/>
  <c r="K363" i="4" s="1"/>
  <c r="U347" i="17"/>
  <c r="U123" i="17"/>
  <c r="U131" i="17" s="1"/>
  <c r="L166" i="17"/>
  <c r="N55" i="1"/>
  <c r="L37" i="16" s="1"/>
  <c r="N20" i="17"/>
  <c r="N58" i="17" s="1"/>
  <c r="K20" i="17"/>
  <c r="K58" i="17" s="1"/>
  <c r="S20" i="17"/>
  <c r="S58" i="17" s="1"/>
  <c r="AA20" i="17"/>
  <c r="AA58" i="17" s="1"/>
  <c r="N20" i="4"/>
  <c r="N58" i="4" s="1"/>
  <c r="V20" i="4"/>
  <c r="V58" i="4" s="1"/>
  <c r="L84" i="1"/>
  <c r="S33" i="17"/>
  <c r="S41" i="17" s="1"/>
  <c r="S271" i="17"/>
  <c r="L248" i="17"/>
  <c r="L30" i="17" s="1"/>
  <c r="L74" i="17" s="1"/>
  <c r="H364" i="17"/>
  <c r="J364" i="17"/>
  <c r="O364" i="17"/>
  <c r="O365" i="17" s="1"/>
  <c r="O26" i="17" s="1"/>
  <c r="O68" i="17" s="1"/>
  <c r="O91" i="17" s="1"/>
  <c r="Z364" i="17"/>
  <c r="M364" i="17"/>
  <c r="S364" i="17"/>
  <c r="T364" i="17"/>
  <c r="T365" i="17" s="1"/>
  <c r="T26" i="17" s="1"/>
  <c r="T68" i="17" s="1"/>
  <c r="T91" i="17" s="1"/>
  <c r="V364" i="17"/>
  <c r="Y364" i="17"/>
  <c r="P364" i="17"/>
  <c r="X364" i="17"/>
  <c r="O38" i="4"/>
  <c r="O64" i="4"/>
  <c r="I207" i="4"/>
  <c r="H217" i="4"/>
  <c r="H207" i="4"/>
  <c r="H213" i="4" s="1"/>
  <c r="L206" i="4"/>
  <c r="L28" i="4" s="1"/>
  <c r="L72" i="4" s="1"/>
  <c r="M206" i="4"/>
  <c r="M28" i="4" s="1"/>
  <c r="M72" i="4" s="1"/>
  <c r="P207" i="4"/>
  <c r="P213" i="4" s="1"/>
  <c r="R206" i="4"/>
  <c r="S206" i="4"/>
  <c r="S28" i="4" s="1"/>
  <c r="S72" i="4" s="1"/>
  <c r="T206" i="4"/>
  <c r="T28" i="4" s="1"/>
  <c r="T72" i="4" s="1"/>
  <c r="U207" i="4"/>
  <c r="U213" i="4" s="1"/>
  <c r="V206" i="4"/>
  <c r="V28" i="4" s="1"/>
  <c r="V72" i="4" s="1"/>
  <c r="X206" i="4"/>
  <c r="X28" i="4" s="1"/>
  <c r="X72" i="4" s="1"/>
  <c r="Z206" i="4"/>
  <c r="Z28" i="4" s="1"/>
  <c r="Z72" i="4" s="1"/>
  <c r="AA206" i="4"/>
  <c r="J206" i="4"/>
  <c r="J28" i="4" s="1"/>
  <c r="J72" i="4" s="1"/>
  <c r="O207" i="4"/>
  <c r="O213" i="4" s="1"/>
  <c r="Q207" i="4"/>
  <c r="Q213" i="4" s="1"/>
  <c r="W206" i="4"/>
  <c r="W208" i="4" s="1"/>
  <c r="Y206" i="4"/>
  <c r="Y28" i="4" s="1"/>
  <c r="Y72" i="4" s="1"/>
  <c r="L207" i="4"/>
  <c r="L213" i="4" s="1"/>
  <c r="N207" i="4"/>
  <c r="N213" i="4" s="1"/>
  <c r="R207" i="4"/>
  <c r="R213" i="4" s="1"/>
  <c r="S207" i="4"/>
  <c r="S213" i="4" s="1"/>
  <c r="T207" i="4"/>
  <c r="T213" i="4" s="1"/>
  <c r="Z207" i="4"/>
  <c r="Z213" i="4" s="1"/>
  <c r="I206" i="4"/>
  <c r="I208" i="4" s="1"/>
  <c r="J207" i="4"/>
  <c r="J213" i="4" s="1"/>
  <c r="P206" i="4"/>
  <c r="Q206" i="4"/>
  <c r="Q208" i="4" s="1"/>
  <c r="U206" i="4"/>
  <c r="U28" i="4" s="1"/>
  <c r="U72" i="4" s="1"/>
  <c r="V207" i="4"/>
  <c r="V213" i="4" s="1"/>
  <c r="X207" i="4"/>
  <c r="X213" i="4" s="1"/>
  <c r="AA207" i="4"/>
  <c r="AA213" i="4" s="1"/>
  <c r="H316" i="17"/>
  <c r="M316" i="17"/>
  <c r="M122" i="17" s="1"/>
  <c r="X316" i="17"/>
  <c r="X122" i="17" s="1"/>
  <c r="Y316" i="17"/>
  <c r="Y122" i="17" s="1"/>
  <c r="N316" i="17"/>
  <c r="N122" i="17" s="1"/>
  <c r="O316" i="17"/>
  <c r="O122" i="17" s="1"/>
  <c r="T316" i="17"/>
  <c r="T122" i="17" s="1"/>
  <c r="T166" i="17" s="1"/>
  <c r="U316" i="17"/>
  <c r="U122" i="17" s="1"/>
  <c r="W316" i="17"/>
  <c r="W122" i="17" s="1"/>
  <c r="K316" i="17"/>
  <c r="K122" i="17" s="1"/>
  <c r="J316" i="17"/>
  <c r="J122" i="17" s="1"/>
  <c r="P316" i="17"/>
  <c r="P122" i="17" s="1"/>
  <c r="Q316" i="17"/>
  <c r="Q122" i="17" s="1"/>
  <c r="Q130" i="17" s="1"/>
  <c r="R316" i="17"/>
  <c r="R122" i="17" s="1"/>
  <c r="S316" i="17"/>
  <c r="S122" i="17" s="1"/>
  <c r="V316" i="17"/>
  <c r="V122" i="17" s="1"/>
  <c r="Z316" i="17"/>
  <c r="Z122" i="17" s="1"/>
  <c r="I316" i="17"/>
  <c r="I122" i="17" s="1"/>
  <c r="O282" i="17"/>
  <c r="P283" i="17"/>
  <c r="P289" i="17" s="1"/>
  <c r="S283" i="17"/>
  <c r="V283" i="17"/>
  <c r="V289" i="17" s="1"/>
  <c r="H283" i="17"/>
  <c r="I283" i="17"/>
  <c r="I289" i="17" s="1"/>
  <c r="M282" i="17"/>
  <c r="N282" i="17"/>
  <c r="N118" i="17" s="1"/>
  <c r="N162" i="17" s="1"/>
  <c r="W283" i="17"/>
  <c r="Z283" i="17"/>
  <c r="Z289" i="17" s="1"/>
  <c r="N283" i="17"/>
  <c r="N289" i="17" s="1"/>
  <c r="P282" i="17"/>
  <c r="S282" i="17"/>
  <c r="S118" i="17" s="1"/>
  <c r="S162" i="17" s="1"/>
  <c r="U282" i="17"/>
  <c r="AA283" i="17"/>
  <c r="AA289" i="17" s="1"/>
  <c r="H282" i="17"/>
  <c r="H118" i="17" s="1"/>
  <c r="H162" i="17" s="1"/>
  <c r="T283" i="17"/>
  <c r="T289" i="17" s="1"/>
  <c r="X283" i="17"/>
  <c r="X289" i="17" s="1"/>
  <c r="K128" i="4"/>
  <c r="K154" i="4"/>
  <c r="P346" i="4"/>
  <c r="U346" i="4"/>
  <c r="H346" i="4"/>
  <c r="H347" i="4" s="1"/>
  <c r="N346" i="4"/>
  <c r="R346" i="4"/>
  <c r="R347" i="4" s="1"/>
  <c r="T346" i="4"/>
  <c r="Z346" i="4"/>
  <c r="V346" i="4"/>
  <c r="Y346" i="4"/>
  <c r="M346" i="4"/>
  <c r="O346" i="4"/>
  <c r="Q346" i="4"/>
  <c r="Q123" i="4" s="1"/>
  <c r="L346" i="4"/>
  <c r="L123" i="4" s="1"/>
  <c r="X346" i="4"/>
  <c r="S346" i="4"/>
  <c r="M76" i="17"/>
  <c r="M40" i="17"/>
  <c r="O33" i="4"/>
  <c r="O77" i="4" s="1"/>
  <c r="O271" i="4"/>
  <c r="P359" i="4"/>
  <c r="P363" i="4" s="1"/>
  <c r="T359" i="4"/>
  <c r="T363" i="4" s="1"/>
  <c r="T365" i="4" s="1"/>
  <c r="T26" i="4" s="1"/>
  <c r="T68" i="4" s="1"/>
  <c r="T91" i="4" s="1"/>
  <c r="U359" i="4"/>
  <c r="U363" i="4" s="1"/>
  <c r="AA359" i="4"/>
  <c r="AA363" i="4" s="1"/>
  <c r="L359" i="4"/>
  <c r="L363" i="4" s="1"/>
  <c r="L365" i="4" s="1"/>
  <c r="L26" i="4" s="1"/>
  <c r="L68" i="4" s="1"/>
  <c r="L91" i="4" s="1"/>
  <c r="N359" i="4"/>
  <c r="N363" i="4" s="1"/>
  <c r="I359" i="4"/>
  <c r="I363" i="4" s="1"/>
  <c r="J359" i="4"/>
  <c r="J363" i="4" s="1"/>
  <c r="X359" i="4"/>
  <c r="X363" i="4" s="1"/>
  <c r="Y359" i="4"/>
  <c r="Y363" i="4" s="1"/>
  <c r="Q270" i="4"/>
  <c r="H270" i="4"/>
  <c r="H271" i="4" s="1"/>
  <c r="I270" i="4"/>
  <c r="K270" i="4"/>
  <c r="N270" i="4"/>
  <c r="N271" i="4" s="1"/>
  <c r="P270" i="4"/>
  <c r="P271" i="4" s="1"/>
  <c r="S270" i="4"/>
  <c r="AA270" i="4"/>
  <c r="J270" i="4"/>
  <c r="J271" i="4" s="1"/>
  <c r="U270" i="4"/>
  <c r="V270" i="4"/>
  <c r="V33" i="4" s="1"/>
  <c r="X270" i="4"/>
  <c r="X33" i="4" s="1"/>
  <c r="X77" i="4" s="1"/>
  <c r="M270" i="4"/>
  <c r="Y270" i="4"/>
  <c r="J123" i="4"/>
  <c r="J347" i="4"/>
  <c r="O378" i="4"/>
  <c r="G379" i="4"/>
  <c r="G254" i="17"/>
  <c r="G256" i="17" s="1"/>
  <c r="H253" i="17" s="1"/>
  <c r="N76" i="17"/>
  <c r="W167" i="4"/>
  <c r="W347" i="4"/>
  <c r="AA167" i="4"/>
  <c r="G297" i="17"/>
  <c r="S76" i="4"/>
  <c r="Y162" i="8"/>
  <c r="C475" i="18"/>
  <c r="C392" i="18"/>
  <c r="C396" i="18"/>
  <c r="C479" i="18"/>
  <c r="C567" i="18"/>
  <c r="C483" i="18"/>
  <c r="L110" i="1"/>
  <c r="L141" i="1" s="1"/>
  <c r="N68" i="18" s="1"/>
  <c r="Y271" i="17"/>
  <c r="Y33" i="17"/>
  <c r="Y41" i="17" s="1"/>
  <c r="V363" i="17"/>
  <c r="O248" i="17"/>
  <c r="O30" i="17" s="1"/>
  <c r="O74" i="17" s="1"/>
  <c r="J249" i="17"/>
  <c r="J255" i="17" s="1"/>
  <c r="Z270" i="4"/>
  <c r="Z33" i="4" s="1"/>
  <c r="W270" i="4"/>
  <c r="Q123" i="17"/>
  <c r="Q347" i="17"/>
  <c r="T130" i="4"/>
  <c r="T166" i="4"/>
  <c r="I110" i="4"/>
  <c r="I148" i="4" s="1"/>
  <c r="K110" i="4"/>
  <c r="K148" i="4" s="1"/>
  <c r="S110" i="4"/>
  <c r="S148" i="4" s="1"/>
  <c r="AA110" i="4"/>
  <c r="AA148" i="4" s="1"/>
  <c r="O110" i="4"/>
  <c r="O148" i="4" s="1"/>
  <c r="W110" i="4"/>
  <c r="W148" i="4" s="1"/>
  <c r="J110" i="4"/>
  <c r="J148" i="4" s="1"/>
  <c r="Z110" i="4"/>
  <c r="Z148" i="4" s="1"/>
  <c r="R110" i="4"/>
  <c r="R148" i="4" s="1"/>
  <c r="AA363" i="17"/>
  <c r="U363" i="17"/>
  <c r="U365" i="17" s="1"/>
  <c r="U26" i="17" s="1"/>
  <c r="U68" i="17" s="1"/>
  <c r="U91" i="17" s="1"/>
  <c r="J248" i="17"/>
  <c r="J30" i="17" s="1"/>
  <c r="J74" i="17" s="1"/>
  <c r="H248" i="17"/>
  <c r="H30" i="17" s="1"/>
  <c r="H74" i="17" s="1"/>
  <c r="I249" i="17"/>
  <c r="I255" i="17" s="1"/>
  <c r="R249" i="17"/>
  <c r="R255" i="17" s="1"/>
  <c r="T249" i="17"/>
  <c r="T255" i="17" s="1"/>
  <c r="U249" i="17"/>
  <c r="U255" i="17" s="1"/>
  <c r="V249" i="17"/>
  <c r="V255" i="17" s="1"/>
  <c r="W249" i="17"/>
  <c r="W255" i="17" s="1"/>
  <c r="H228" i="17"/>
  <c r="H234" i="17" s="1"/>
  <c r="H238" i="17"/>
  <c r="K227" i="17"/>
  <c r="K29" i="17" s="1"/>
  <c r="K73" i="17" s="1"/>
  <c r="L227" i="17"/>
  <c r="L29" i="17" s="1"/>
  <c r="L73" i="17" s="1"/>
  <c r="O227" i="17"/>
  <c r="P228" i="17"/>
  <c r="S228" i="17"/>
  <c r="S234" i="17" s="1"/>
  <c r="T227" i="17"/>
  <c r="X227" i="17"/>
  <c r="X29" i="17" s="1"/>
  <c r="X73" i="17" s="1"/>
  <c r="Y227" i="17"/>
  <c r="Y29" i="17" s="1"/>
  <c r="Y73" i="17" s="1"/>
  <c r="Z228" i="17"/>
  <c r="Z234" i="17" s="1"/>
  <c r="AA228" i="17"/>
  <c r="AA234" i="17" s="1"/>
  <c r="Y64" i="4"/>
  <c r="Y38" i="4"/>
  <c r="R248" i="4"/>
  <c r="R30" i="4" s="1"/>
  <c r="R74" i="4" s="1"/>
  <c r="N249" i="4"/>
  <c r="N255" i="4" s="1"/>
  <c r="M64" i="4"/>
  <c r="M38" i="4"/>
  <c r="H346" i="17"/>
  <c r="H347" i="17" s="1"/>
  <c r="I346" i="17"/>
  <c r="L346" i="17"/>
  <c r="N346" i="17"/>
  <c r="T346" i="17"/>
  <c r="K346" i="17"/>
  <c r="K123" i="17" s="1"/>
  <c r="V346" i="17"/>
  <c r="V123" i="17" s="1"/>
  <c r="V131" i="17" s="1"/>
  <c r="Y346" i="17"/>
  <c r="M346" i="17"/>
  <c r="M123" i="17" s="1"/>
  <c r="W346" i="17"/>
  <c r="X346" i="17"/>
  <c r="X123" i="17" s="1"/>
  <c r="AA346" i="17"/>
  <c r="AA347" i="17" s="1"/>
  <c r="H315" i="4"/>
  <c r="H304" i="4"/>
  <c r="H310" i="4" s="1"/>
  <c r="J303" i="4"/>
  <c r="J119" i="4" s="1"/>
  <c r="J163" i="4" s="1"/>
  <c r="L304" i="4"/>
  <c r="L310" i="4" s="1"/>
  <c r="N304" i="4"/>
  <c r="N310" i="4" s="1"/>
  <c r="R304" i="4"/>
  <c r="R310" i="4" s="1"/>
  <c r="S304" i="4"/>
  <c r="S310" i="4" s="1"/>
  <c r="T304" i="4"/>
  <c r="T310" i="4" s="1"/>
  <c r="V303" i="4"/>
  <c r="V119" i="4" s="1"/>
  <c r="V163" i="4" s="1"/>
  <c r="W303" i="4"/>
  <c r="X303" i="4"/>
  <c r="X119" i="4" s="1"/>
  <c r="X163" i="4" s="1"/>
  <c r="Z304" i="4"/>
  <c r="H314" i="4"/>
  <c r="I303" i="4"/>
  <c r="K303" i="4"/>
  <c r="M303" i="4"/>
  <c r="M119" i="4" s="1"/>
  <c r="M163" i="4" s="1"/>
  <c r="O303" i="4"/>
  <c r="O119" i="4" s="1"/>
  <c r="O163" i="4" s="1"/>
  <c r="P303" i="4"/>
  <c r="P119" i="4" s="1"/>
  <c r="P163" i="4" s="1"/>
  <c r="Q303" i="4"/>
  <c r="Q119" i="4" s="1"/>
  <c r="Q163" i="4" s="1"/>
  <c r="U303" i="4"/>
  <c r="U119" i="4" s="1"/>
  <c r="U163" i="4" s="1"/>
  <c r="Y304" i="4"/>
  <c r="AA303" i="4"/>
  <c r="AA119" i="4" s="1"/>
  <c r="AA163" i="4" s="1"/>
  <c r="H303" i="4"/>
  <c r="H119" i="4" s="1"/>
  <c r="H163" i="4" s="1"/>
  <c r="K304" i="4"/>
  <c r="K310" i="4" s="1"/>
  <c r="P304" i="4"/>
  <c r="P310" i="4" s="1"/>
  <c r="S303" i="4"/>
  <c r="S119" i="4" s="1"/>
  <c r="S163" i="4" s="1"/>
  <c r="W304" i="4"/>
  <c r="W310" i="4" s="1"/>
  <c r="X304" i="4"/>
  <c r="X310" i="4" s="1"/>
  <c r="Z303" i="4"/>
  <c r="Z119" i="4" s="1"/>
  <c r="Z163" i="4" s="1"/>
  <c r="AA304" i="4"/>
  <c r="AA310" i="4" s="1"/>
  <c r="I304" i="4"/>
  <c r="I310" i="4" s="1"/>
  <c r="J304" i="4"/>
  <c r="J310" i="4" s="1"/>
  <c r="T303" i="4"/>
  <c r="T119" i="4" s="1"/>
  <c r="T163" i="4" s="1"/>
  <c r="U304" i="4"/>
  <c r="Y303" i="4"/>
  <c r="Y119" i="4" s="1"/>
  <c r="Y163" i="4" s="1"/>
  <c r="V227" i="17"/>
  <c r="V29" i="17" s="1"/>
  <c r="V73" i="17" s="1"/>
  <c r="U248" i="17"/>
  <c r="U30" i="17" s="1"/>
  <c r="U74" i="17" s="1"/>
  <c r="T228" i="17"/>
  <c r="T234" i="17" s="1"/>
  <c r="Q248" i="17"/>
  <c r="Q30" i="17" s="1"/>
  <c r="Q74" i="17" s="1"/>
  <c r="P363" i="17"/>
  <c r="P365" i="17" s="1"/>
  <c r="P26" i="17" s="1"/>
  <c r="P68" i="17" s="1"/>
  <c r="P91" i="17" s="1"/>
  <c r="N227" i="17"/>
  <c r="L249" i="17"/>
  <c r="L255" i="17" s="1"/>
  <c r="K248" i="17"/>
  <c r="H270" i="17"/>
  <c r="H271" i="17" s="1"/>
  <c r="J270" i="17"/>
  <c r="J271" i="17" s="1"/>
  <c r="Q270" i="17"/>
  <c r="Q271" i="17" s="1"/>
  <c r="U270" i="17"/>
  <c r="V270" i="17"/>
  <c r="V33" i="17" s="1"/>
  <c r="W270" i="17"/>
  <c r="W271" i="17" s="1"/>
  <c r="H32" i="17"/>
  <c r="H40" i="17" s="1"/>
  <c r="O364" i="4"/>
  <c r="H364" i="4"/>
  <c r="I364" i="4"/>
  <c r="J364" i="4"/>
  <c r="L364" i="4"/>
  <c r="M364" i="4"/>
  <c r="N364" i="4"/>
  <c r="V364" i="4"/>
  <c r="Y364" i="4"/>
  <c r="K364" i="4"/>
  <c r="P364" i="4"/>
  <c r="Q364" i="4"/>
  <c r="T364" i="4"/>
  <c r="U364" i="4"/>
  <c r="W364" i="4"/>
  <c r="X364" i="4"/>
  <c r="AA364" i="4"/>
  <c r="H248" i="4"/>
  <c r="H30" i="4" s="1"/>
  <c r="H74" i="4" s="1"/>
  <c r="K249" i="4"/>
  <c r="K255" i="4" s="1"/>
  <c r="L248" i="4"/>
  <c r="L30" i="4" s="1"/>
  <c r="L74" i="4" s="1"/>
  <c r="N248" i="4"/>
  <c r="O248" i="4"/>
  <c r="O30" i="4" s="1"/>
  <c r="O74" i="4" s="1"/>
  <c r="Q249" i="4"/>
  <c r="Q255" i="4" s="1"/>
  <c r="R249" i="4"/>
  <c r="R255" i="4" s="1"/>
  <c r="S249" i="4"/>
  <c r="S255" i="4" s="1"/>
  <c r="W248" i="4"/>
  <c r="W30" i="4" s="1"/>
  <c r="W74" i="4" s="1"/>
  <c r="X249" i="4"/>
  <c r="X255" i="4" s="1"/>
  <c r="Z249" i="4"/>
  <c r="Z255" i="4" s="1"/>
  <c r="H249" i="4"/>
  <c r="H255" i="4" s="1"/>
  <c r="H256" i="4" s="1"/>
  <c r="I253" i="4" s="1"/>
  <c r="I249" i="4"/>
  <c r="I255" i="4" s="1"/>
  <c r="J249" i="4"/>
  <c r="J255" i="4" s="1"/>
  <c r="M248" i="4"/>
  <c r="P248" i="4"/>
  <c r="T248" i="4"/>
  <c r="T30" i="4" s="1"/>
  <c r="T74" i="4" s="1"/>
  <c r="U248" i="4"/>
  <c r="U30" i="4" s="1"/>
  <c r="U74" i="4" s="1"/>
  <c r="V248" i="4"/>
  <c r="V250" i="4" s="1"/>
  <c r="Y249" i="4"/>
  <c r="Y255" i="4" s="1"/>
  <c r="AA248" i="4"/>
  <c r="AA30" i="4" s="1"/>
  <c r="AA74" i="4" s="1"/>
  <c r="I240" i="4"/>
  <c r="I32" i="4" s="1"/>
  <c r="J240" i="4"/>
  <c r="J32" i="4" s="1"/>
  <c r="N240" i="4"/>
  <c r="N32" i="4" s="1"/>
  <c r="O240" i="4"/>
  <c r="O32" i="4" s="1"/>
  <c r="U240" i="4"/>
  <c r="U32" i="4" s="1"/>
  <c r="U40" i="4" s="1"/>
  <c r="W240" i="4"/>
  <c r="W32" i="4" s="1"/>
  <c r="W40" i="4" s="1"/>
  <c r="H240" i="4"/>
  <c r="H32" i="4" s="1"/>
  <c r="L240" i="4"/>
  <c r="L32" i="4" s="1"/>
  <c r="L40" i="4" s="1"/>
  <c r="R240" i="4"/>
  <c r="R32" i="4" s="1"/>
  <c r="R40" i="4" s="1"/>
  <c r="T240" i="4"/>
  <c r="T32" i="4" s="1"/>
  <c r="V240" i="4"/>
  <c r="V32" i="4" s="1"/>
  <c r="X240" i="4"/>
  <c r="X32" i="4" s="1"/>
  <c r="X40" i="4" s="1"/>
  <c r="R346" i="17"/>
  <c r="Q379" i="17"/>
  <c r="Q116" i="17" s="1"/>
  <c r="Q158" i="17" s="1"/>
  <c r="Q181" i="17" s="1"/>
  <c r="S377" i="17"/>
  <c r="T377" i="17"/>
  <c r="T379" i="17" s="1"/>
  <c r="T116" i="17" s="1"/>
  <c r="T158" i="17" s="1"/>
  <c r="T181" i="17" s="1"/>
  <c r="I377" i="17"/>
  <c r="I379" i="17" s="1"/>
  <c r="I116" i="17" s="1"/>
  <c r="I158" i="17" s="1"/>
  <c r="I181" i="17" s="1"/>
  <c r="W377" i="17"/>
  <c r="X377" i="17"/>
  <c r="K377" i="17"/>
  <c r="M377" i="17"/>
  <c r="V110" i="4"/>
  <c r="V148" i="4" s="1"/>
  <c r="R303" i="4"/>
  <c r="Z377" i="4"/>
  <c r="R207" i="17"/>
  <c r="R213" i="17" s="1"/>
  <c r="Q363" i="17"/>
  <c r="K363" i="17"/>
  <c r="AA378" i="17"/>
  <c r="AA379" i="17" s="1"/>
  <c r="AA116" i="17" s="1"/>
  <c r="AA158" i="17" s="1"/>
  <c r="AA181" i="17" s="1"/>
  <c r="W316" i="4"/>
  <c r="W122" i="4" s="1"/>
  <c r="W130" i="4" s="1"/>
  <c r="P316" i="4"/>
  <c r="P122" i="4" s="1"/>
  <c r="P130" i="4" s="1"/>
  <c r="N316" i="4"/>
  <c r="N122" i="4" s="1"/>
  <c r="N130" i="4" s="1"/>
  <c r="H373" i="4"/>
  <c r="H377" i="4" s="1"/>
  <c r="K373" i="4"/>
  <c r="K377" i="4" s="1"/>
  <c r="M373" i="4"/>
  <c r="P373" i="4"/>
  <c r="P377" i="4" s="1"/>
  <c r="Q373" i="4"/>
  <c r="Q377" i="4" s="1"/>
  <c r="U373" i="4"/>
  <c r="U377" i="4" s="1"/>
  <c r="J373" i="4"/>
  <c r="L373" i="4"/>
  <c r="L377" i="4" s="1"/>
  <c r="N373" i="4"/>
  <c r="N377" i="4" s="1"/>
  <c r="R373" i="4"/>
  <c r="R377" i="4" s="1"/>
  <c r="T373" i="4"/>
  <c r="V373" i="4"/>
  <c r="V377" i="4" s="1"/>
  <c r="W373" i="4"/>
  <c r="W377" i="4" s="1"/>
  <c r="X373" i="4"/>
  <c r="X377" i="4" s="1"/>
  <c r="N110" i="1"/>
  <c r="N136" i="1" s="1"/>
  <c r="P63" i="18" s="1"/>
  <c r="J378" i="17"/>
  <c r="J379" i="17" s="1"/>
  <c r="J116" i="17" s="1"/>
  <c r="J158" i="17" s="1"/>
  <c r="J181" i="17" s="1"/>
  <c r="U378" i="17"/>
  <c r="H378" i="17"/>
  <c r="K378" i="17"/>
  <c r="M378" i="17"/>
  <c r="P378" i="17"/>
  <c r="P379" i="17" s="1"/>
  <c r="P116" i="17" s="1"/>
  <c r="P158" i="17" s="1"/>
  <c r="P181" i="17" s="1"/>
  <c r="Q378" i="17"/>
  <c r="R378" i="17"/>
  <c r="R379" i="17" s="1"/>
  <c r="R116" i="17" s="1"/>
  <c r="R158" i="17" s="1"/>
  <c r="R181" i="17" s="1"/>
  <c r="Y378" i="17"/>
  <c r="Y379" i="17" s="1"/>
  <c r="Y116" i="17" s="1"/>
  <c r="Y158" i="17" s="1"/>
  <c r="Y181" i="17" s="1"/>
  <c r="Z154" i="4"/>
  <c r="Z128" i="4"/>
  <c r="I316" i="4"/>
  <c r="I122" i="4" s="1"/>
  <c r="I166" i="4" s="1"/>
  <c r="O316" i="4"/>
  <c r="O122" i="4" s="1"/>
  <c r="S316" i="4"/>
  <c r="S122" i="4" s="1"/>
  <c r="S130" i="4" s="1"/>
  <c r="X316" i="4"/>
  <c r="X122" i="4" s="1"/>
  <c r="AA316" i="4"/>
  <c r="AA122" i="4" s="1"/>
  <c r="AA130" i="4" s="1"/>
  <c r="H316" i="4"/>
  <c r="L316" i="4"/>
  <c r="L122" i="4" s="1"/>
  <c r="M316" i="4"/>
  <c r="M122" i="4" s="1"/>
  <c r="V316" i="4"/>
  <c r="V122" i="4" s="1"/>
  <c r="Y316" i="4"/>
  <c r="Y122" i="4" s="1"/>
  <c r="Y166" i="4" s="1"/>
  <c r="O377" i="17"/>
  <c r="O379" i="17" s="1"/>
  <c r="O116" i="17" s="1"/>
  <c r="O158" i="17" s="1"/>
  <c r="O181" i="17" s="1"/>
  <c r="V377" i="17"/>
  <c r="AA248" i="17"/>
  <c r="Z249" i="17"/>
  <c r="Z255" i="17" s="1"/>
  <c r="Y249" i="17"/>
  <c r="Y255" i="17" s="1"/>
  <c r="X248" i="17"/>
  <c r="X30" i="17" s="1"/>
  <c r="X74" i="17" s="1"/>
  <c r="S249" i="17"/>
  <c r="S255" i="17" s="1"/>
  <c r="Q249" i="17"/>
  <c r="Q255" i="17" s="1"/>
  <c r="P248" i="17"/>
  <c r="P30" i="17" s="1"/>
  <c r="P74" i="17" s="1"/>
  <c r="O249" i="17"/>
  <c r="O255" i="17" s="1"/>
  <c r="N248" i="17"/>
  <c r="N30" i="17" s="1"/>
  <c r="N74" i="17" s="1"/>
  <c r="M248" i="17"/>
  <c r="M30" i="17" s="1"/>
  <c r="M74" i="17" s="1"/>
  <c r="H249" i="17"/>
  <c r="H255" i="17" s="1"/>
  <c r="I248" i="17"/>
  <c r="I30" i="17" s="1"/>
  <c r="I74" i="17" s="1"/>
  <c r="AA249" i="17"/>
  <c r="AA255" i="17" s="1"/>
  <c r="X249" i="17"/>
  <c r="X255" i="17" s="1"/>
  <c r="W248" i="17"/>
  <c r="W30" i="17" s="1"/>
  <c r="W74" i="17" s="1"/>
  <c r="R248" i="17"/>
  <c r="P249" i="17"/>
  <c r="P255" i="17" s="1"/>
  <c r="N249" i="17"/>
  <c r="N255" i="17" s="1"/>
  <c r="M249" i="17"/>
  <c r="M255" i="17" s="1"/>
  <c r="K248" i="4"/>
  <c r="K30" i="4" s="1"/>
  <c r="K74" i="4" s="1"/>
  <c r="J65" i="16"/>
  <c r="L58" i="16"/>
  <c r="I20" i="4"/>
  <c r="I58" i="4" s="1"/>
  <c r="M20" i="4"/>
  <c r="M58" i="4" s="1"/>
  <c r="Q20" i="4"/>
  <c r="Q58" i="4" s="1"/>
  <c r="U20" i="4"/>
  <c r="U58" i="4" s="1"/>
  <c r="Y20" i="4"/>
  <c r="Y58" i="4" s="1"/>
  <c r="H20" i="4"/>
  <c r="H58" i="4" s="1"/>
  <c r="L20" i="4"/>
  <c r="L58" i="4" s="1"/>
  <c r="P20" i="4"/>
  <c r="P58" i="4" s="1"/>
  <c r="T20" i="4"/>
  <c r="T58" i="4" s="1"/>
  <c r="X20" i="4"/>
  <c r="X58" i="4" s="1"/>
  <c r="J20" i="17"/>
  <c r="J58" i="17" s="1"/>
  <c r="S20" i="4"/>
  <c r="S58" i="4" s="1"/>
  <c r="L64" i="4"/>
  <c r="J154" i="4"/>
  <c r="V20" i="17"/>
  <c r="V58" i="17" s="1"/>
  <c r="W20" i="4"/>
  <c r="W58" i="4" s="1"/>
  <c r="O20" i="4"/>
  <c r="O58" i="4" s="1"/>
  <c r="V38" i="4"/>
  <c r="O359" i="4"/>
  <c r="O363" i="4" s="1"/>
  <c r="O365" i="4" s="1"/>
  <c r="O26" i="4" s="1"/>
  <c r="O68" i="4" s="1"/>
  <c r="O91" i="4" s="1"/>
  <c r="R359" i="4"/>
  <c r="R363" i="4" s="1"/>
  <c r="R365" i="4" s="1"/>
  <c r="R26" i="4" s="1"/>
  <c r="R68" i="4" s="1"/>
  <c r="R91" i="4" s="1"/>
  <c r="W359" i="4"/>
  <c r="W363" i="4" s="1"/>
  <c r="H359" i="4"/>
  <c r="H363" i="4" s="1"/>
  <c r="H365" i="4" s="1"/>
  <c r="H26" i="4" s="1"/>
  <c r="H68" i="4" s="1"/>
  <c r="H91" i="4" s="1"/>
  <c r="M359" i="4"/>
  <c r="M363" i="4" s="1"/>
  <c r="S359" i="4"/>
  <c r="S363" i="4" s="1"/>
  <c r="V359" i="4"/>
  <c r="V363" i="4" s="1"/>
  <c r="Z359" i="4"/>
  <c r="Z363" i="4" s="1"/>
  <c r="K64" i="4"/>
  <c r="I20" i="17"/>
  <c r="I58" i="17" s="1"/>
  <c r="M20" i="17"/>
  <c r="M58" i="17" s="1"/>
  <c r="Q20" i="17"/>
  <c r="Q58" i="17" s="1"/>
  <c r="U20" i="17"/>
  <c r="U58" i="17" s="1"/>
  <c r="Y20" i="17"/>
  <c r="Y58" i="17" s="1"/>
  <c r="H20" i="17"/>
  <c r="L20" i="17"/>
  <c r="L58" i="17" s="1"/>
  <c r="P20" i="17"/>
  <c r="P58" i="17" s="1"/>
  <c r="T20" i="17"/>
  <c r="T58" i="17" s="1"/>
  <c r="X20" i="17"/>
  <c r="X58" i="17" s="1"/>
  <c r="H110" i="17"/>
  <c r="H148" i="17" s="1"/>
  <c r="L110" i="17"/>
  <c r="L148" i="17" s="1"/>
  <c r="P110" i="17"/>
  <c r="P148" i="17" s="1"/>
  <c r="T110" i="17"/>
  <c r="T148" i="17" s="1"/>
  <c r="X110" i="17"/>
  <c r="X148" i="17" s="1"/>
  <c r="M110" i="17"/>
  <c r="M148" i="17" s="1"/>
  <c r="Q110" i="17"/>
  <c r="Q148" i="17" s="1"/>
  <c r="Y110" i="17"/>
  <c r="Y148" i="17" s="1"/>
  <c r="K110" i="17"/>
  <c r="K148" i="17" s="1"/>
  <c r="O110" i="17"/>
  <c r="O148" i="17" s="1"/>
  <c r="S110" i="17"/>
  <c r="S148" i="17" s="1"/>
  <c r="W110" i="17"/>
  <c r="W148" i="17" s="1"/>
  <c r="AA110" i="17"/>
  <c r="AA148" i="17" s="1"/>
  <c r="I110" i="17"/>
  <c r="I148" i="17" s="1"/>
  <c r="U110" i="17"/>
  <c r="U148" i="17" s="1"/>
  <c r="Z20" i="17"/>
  <c r="Z58" i="17" s="1"/>
  <c r="R20" i="17"/>
  <c r="R58" i="17" s="1"/>
  <c r="AA20" i="4"/>
  <c r="AA58" i="4" s="1"/>
  <c r="K20" i="4"/>
  <c r="K58" i="4" s="1"/>
  <c r="AA64" i="4"/>
  <c r="AA38" i="4"/>
  <c r="N110" i="17"/>
  <c r="N148" i="17" s="1"/>
  <c r="W20" i="17"/>
  <c r="W58" i="17" s="1"/>
  <c r="O20" i="17"/>
  <c r="O58" i="17" s="1"/>
  <c r="Z20" i="4"/>
  <c r="Z58" i="4" s="1"/>
  <c r="R20" i="4"/>
  <c r="R58" i="4" s="1"/>
  <c r="J20" i="4"/>
  <c r="J58" i="4" s="1"/>
  <c r="I64" i="4"/>
  <c r="I38" i="4"/>
  <c r="Z110" i="17"/>
  <c r="Z148" i="17" s="1"/>
  <c r="J110" i="17"/>
  <c r="J148" i="17" s="1"/>
  <c r="D134" i="1"/>
  <c r="X110" i="4"/>
  <c r="X148" i="4" s="1"/>
  <c r="T110" i="4"/>
  <c r="T148" i="4" s="1"/>
  <c r="P110" i="4"/>
  <c r="P148" i="4" s="1"/>
  <c r="L110" i="4"/>
  <c r="L148" i="4" s="1"/>
  <c r="H110" i="4"/>
  <c r="H148" i="4" s="1"/>
  <c r="P154" i="4"/>
  <c r="Y110" i="4"/>
  <c r="Y148" i="4" s="1"/>
  <c r="U110" i="4"/>
  <c r="U148" i="4" s="1"/>
  <c r="Q110" i="4"/>
  <c r="Q148" i="4" s="1"/>
  <c r="M110" i="4"/>
  <c r="M148" i="4" s="1"/>
  <c r="AA130" i="17"/>
  <c r="AA166" i="17"/>
  <c r="AA41" i="17"/>
  <c r="AA77" i="17"/>
  <c r="U130" i="4"/>
  <c r="U166" i="4"/>
  <c r="AA271" i="17"/>
  <c r="O347" i="17"/>
  <c r="O123" i="17"/>
  <c r="I167" i="4"/>
  <c r="I131" i="4"/>
  <c r="R64" i="4"/>
  <c r="Q29" i="17"/>
  <c r="Q73" i="17" s="1"/>
  <c r="I29" i="17"/>
  <c r="I73" i="17" s="1"/>
  <c r="T119" i="17"/>
  <c r="T163" i="17" s="1"/>
  <c r="H315" i="17"/>
  <c r="H303" i="17"/>
  <c r="J303" i="17"/>
  <c r="K304" i="17"/>
  <c r="L303" i="17"/>
  <c r="M304" i="17"/>
  <c r="O303" i="17"/>
  <c r="P304" i="17"/>
  <c r="P310" i="17" s="1"/>
  <c r="Q304" i="17"/>
  <c r="R304" i="17"/>
  <c r="S304" i="17"/>
  <c r="H304" i="17"/>
  <c r="I303" i="17"/>
  <c r="J304" i="17"/>
  <c r="L304" i="17"/>
  <c r="O304" i="17"/>
  <c r="K303" i="17"/>
  <c r="N304" i="17"/>
  <c r="U303" i="17"/>
  <c r="V303" i="17"/>
  <c r="W303" i="17"/>
  <c r="X303" i="17"/>
  <c r="I304" i="17"/>
  <c r="I310" i="17" s="1"/>
  <c r="P303" i="17"/>
  <c r="Q303" i="17"/>
  <c r="R303" i="17"/>
  <c r="S303" i="17"/>
  <c r="U304" i="17"/>
  <c r="V304" i="17"/>
  <c r="W304" i="17"/>
  <c r="X304" i="17"/>
  <c r="Y303" i="17"/>
  <c r="Z303" i="17"/>
  <c r="AA303" i="17"/>
  <c r="G309" i="17"/>
  <c r="G311" i="17" s="1"/>
  <c r="H308" i="17" s="1"/>
  <c r="T304" i="17"/>
  <c r="T305" i="17" s="1"/>
  <c r="Z304" i="17"/>
  <c r="H128" i="4"/>
  <c r="H154" i="4"/>
  <c r="K123" i="4"/>
  <c r="K347" i="4"/>
  <c r="V76" i="17"/>
  <c r="R271" i="17"/>
  <c r="U40" i="17"/>
  <c r="J123" i="17"/>
  <c r="J347" i="17"/>
  <c r="G177" i="4"/>
  <c r="G187" i="4" s="1"/>
  <c r="I228" i="17"/>
  <c r="I234" i="17" s="1"/>
  <c r="Z167" i="17"/>
  <c r="Z131" i="17"/>
  <c r="L378" i="4"/>
  <c r="I378" i="4"/>
  <c r="AA378" i="4"/>
  <c r="T377" i="4"/>
  <c r="J377" i="4"/>
  <c r="M377" i="4"/>
  <c r="W324" i="4"/>
  <c r="W120" i="4" s="1"/>
  <c r="W164" i="4" s="1"/>
  <c r="AA325" i="4"/>
  <c r="AA331" i="4" s="1"/>
  <c r="W325" i="4"/>
  <c r="W331" i="4" s="1"/>
  <c r="L28" i="1"/>
  <c r="M118" i="4"/>
  <c r="M162" i="4" s="1"/>
  <c r="M378" i="4"/>
  <c r="Q378" i="4"/>
  <c r="U378" i="4"/>
  <c r="Y378" i="4"/>
  <c r="Y379" i="4" s="1"/>
  <c r="Y116" i="4" s="1"/>
  <c r="Y158" i="4" s="1"/>
  <c r="Y181" i="4" s="1"/>
  <c r="N378" i="4"/>
  <c r="R378" i="4"/>
  <c r="V378" i="4"/>
  <c r="Z378" i="4"/>
  <c r="K378" i="4"/>
  <c r="K379" i="4" s="1"/>
  <c r="K116" i="4" s="1"/>
  <c r="S378" i="4"/>
  <c r="T378" i="4"/>
  <c r="H378" i="4"/>
  <c r="P378" i="4"/>
  <c r="I283" i="4"/>
  <c r="J283" i="4"/>
  <c r="K283" i="4"/>
  <c r="N282" i="4"/>
  <c r="O283" i="4"/>
  <c r="R282" i="4"/>
  <c r="S283" i="4"/>
  <c r="V282" i="4"/>
  <c r="W283" i="4"/>
  <c r="Z282" i="4"/>
  <c r="AA283" i="4"/>
  <c r="H283" i="4"/>
  <c r="I282" i="4"/>
  <c r="J282" i="4"/>
  <c r="K282" i="4"/>
  <c r="L283" i="4"/>
  <c r="L289" i="4" s="1"/>
  <c r="O282" i="4"/>
  <c r="P283" i="4"/>
  <c r="P289" i="4" s="1"/>
  <c r="S282" i="4"/>
  <c r="T283" i="4"/>
  <c r="W282" i="4"/>
  <c r="X283" i="4"/>
  <c r="AA282" i="4"/>
  <c r="Q283" i="4"/>
  <c r="R283" i="4"/>
  <c r="T282" i="4"/>
  <c r="U282" i="4"/>
  <c r="Y282" i="4"/>
  <c r="H282" i="4"/>
  <c r="P282" i="4"/>
  <c r="Q282" i="4"/>
  <c r="O33" i="17"/>
  <c r="L33" i="17"/>
  <c r="L41" i="17" s="1"/>
  <c r="Z30" i="4"/>
  <c r="Z74" i="4" s="1"/>
  <c r="K28" i="4"/>
  <c r="K72" i="4" s="1"/>
  <c r="Z283" i="4"/>
  <c r="Z289" i="4" s="1"/>
  <c r="X378" i="4"/>
  <c r="X282" i="4"/>
  <c r="W378" i="4"/>
  <c r="W379" i="4" s="1"/>
  <c r="W116" i="4" s="1"/>
  <c r="N283" i="4"/>
  <c r="K166" i="4"/>
  <c r="J378" i="4"/>
  <c r="M289" i="4"/>
  <c r="K271" i="17"/>
  <c r="K33" i="17"/>
  <c r="R166" i="4"/>
  <c r="I213" i="4"/>
  <c r="X347" i="17"/>
  <c r="Z130" i="4"/>
  <c r="Z166" i="4"/>
  <c r="V283" i="4"/>
  <c r="V289" i="4" s="1"/>
  <c r="O206" i="4"/>
  <c r="N206" i="4"/>
  <c r="K207" i="4"/>
  <c r="K213" i="4" s="1"/>
  <c r="U76" i="8"/>
  <c r="S40" i="17"/>
  <c r="S76" i="17"/>
  <c r="Q76" i="4"/>
  <c r="Q40" i="4"/>
  <c r="X76" i="17"/>
  <c r="X40" i="17"/>
  <c r="R76" i="17"/>
  <c r="R40" i="17"/>
  <c r="O40" i="17"/>
  <c r="AA40" i="17"/>
  <c r="AA76" i="17"/>
  <c r="T76" i="17"/>
  <c r="Y213" i="4"/>
  <c r="X234" i="17"/>
  <c r="T213" i="17"/>
  <c r="H217" i="17"/>
  <c r="H31" i="17" s="1"/>
  <c r="I207" i="17"/>
  <c r="J206" i="17"/>
  <c r="K207" i="17"/>
  <c r="L207" i="17"/>
  <c r="M206" i="17"/>
  <c r="L206" i="17"/>
  <c r="N206" i="17"/>
  <c r="O207" i="17"/>
  <c r="P206" i="17"/>
  <c r="Q206" i="17"/>
  <c r="S206" i="17"/>
  <c r="T206" i="17"/>
  <c r="Z207" i="17"/>
  <c r="H206" i="17"/>
  <c r="U206" i="17"/>
  <c r="V207" i="17"/>
  <c r="W206" i="17"/>
  <c r="X207" i="17"/>
  <c r="Z206" i="17"/>
  <c r="AA207" i="17"/>
  <c r="H207" i="17"/>
  <c r="I206" i="17"/>
  <c r="J207" i="17"/>
  <c r="R206" i="17"/>
  <c r="U207" i="17"/>
  <c r="W207" i="17"/>
  <c r="Y206" i="17"/>
  <c r="G212" i="17"/>
  <c r="G214" i="17" s="1"/>
  <c r="H211" i="17" s="1"/>
  <c r="M207" i="17"/>
  <c r="N207" i="17"/>
  <c r="O206" i="17"/>
  <c r="P207" i="17"/>
  <c r="Q207" i="17"/>
  <c r="V206" i="17"/>
  <c r="X206" i="17"/>
  <c r="AA206" i="17"/>
  <c r="Q28" i="4"/>
  <c r="Q72" i="4" s="1"/>
  <c r="P40" i="4"/>
  <c r="P76" i="4"/>
  <c r="J227" i="4"/>
  <c r="R227" i="4"/>
  <c r="Z227" i="4"/>
  <c r="Q227" i="4"/>
  <c r="M76" i="4"/>
  <c r="Q76" i="17"/>
  <c r="J76" i="17"/>
  <c r="L234" i="4"/>
  <c r="Y76" i="4"/>
  <c r="V228" i="4"/>
  <c r="L76" i="17"/>
  <c r="K76" i="4"/>
  <c r="W40" i="17"/>
  <c r="T30" i="17"/>
  <c r="T74" i="17" s="1"/>
  <c r="O29" i="17"/>
  <c r="O73" i="17" s="1"/>
  <c r="R228" i="4"/>
  <c r="H227" i="17"/>
  <c r="J228" i="17"/>
  <c r="M228" i="17"/>
  <c r="M234" i="17" s="1"/>
  <c r="N271" i="17"/>
  <c r="N33" i="17"/>
  <c r="T77" i="17"/>
  <c r="M271" i="17"/>
  <c r="M33" i="17"/>
  <c r="Z271" i="17"/>
  <c r="Z33" i="17"/>
  <c r="R41" i="17"/>
  <c r="Z271" i="4"/>
  <c r="R271" i="4"/>
  <c r="R33" i="4"/>
  <c r="P33" i="4"/>
  <c r="N33" i="4"/>
  <c r="L271" i="4"/>
  <c r="L33" i="4"/>
  <c r="J33" i="4"/>
  <c r="I220" i="7"/>
  <c r="I235" i="7" s="1"/>
  <c r="G245" i="7"/>
  <c r="G246" i="7" s="1"/>
  <c r="G247" i="7" s="1"/>
  <c r="P16" i="1" s="1"/>
  <c r="H32" i="7"/>
  <c r="H47" i="7" s="1"/>
  <c r="G57" i="7"/>
  <c r="G58" i="7" s="1"/>
  <c r="G59" i="7" s="1"/>
  <c r="L16" i="1" s="1"/>
  <c r="W434" i="7"/>
  <c r="AM429" i="7"/>
  <c r="AA738" i="7"/>
  <c r="T738" i="7"/>
  <c r="AO738" i="7"/>
  <c r="AX738" i="7"/>
  <c r="M738" i="7"/>
  <c r="AZ738" i="7"/>
  <c r="AN738" i="7"/>
  <c r="M661" i="7"/>
  <c r="Y226" i="7"/>
  <c r="AD661" i="7"/>
  <c r="AU661" i="7"/>
  <c r="AN661" i="7"/>
  <c r="AX661" i="7"/>
  <c r="H667" i="7"/>
  <c r="I664" i="7" s="1"/>
  <c r="I667" i="7" s="1"/>
  <c r="J664" i="7" s="1"/>
  <c r="J667" i="7" s="1"/>
  <c r="K664" i="7" s="1"/>
  <c r="K667" i="7" s="1"/>
  <c r="L664" i="7" s="1"/>
  <c r="AS661" i="7"/>
  <c r="AW661" i="7"/>
  <c r="AV661" i="7"/>
  <c r="BE661" i="7"/>
  <c r="V661" i="7"/>
  <c r="I661" i="7"/>
  <c r="AK661" i="7"/>
  <c r="X583" i="7"/>
  <c r="L583" i="7"/>
  <c r="AW583" i="7"/>
  <c r="AV583" i="7"/>
  <c r="O583" i="7"/>
  <c r="Q588" i="7"/>
  <c r="M178" i="7"/>
  <c r="AF583" i="7"/>
  <c r="AU132" i="7"/>
  <c r="AG507" i="7"/>
  <c r="AK132" i="7"/>
  <c r="AD507" i="7"/>
  <c r="S84" i="7"/>
  <c r="AO429" i="7"/>
  <c r="AV429" i="7"/>
  <c r="BE429" i="7"/>
  <c r="J353" i="7"/>
  <c r="AL38" i="7"/>
  <c r="AF353" i="7"/>
  <c r="Z353" i="7"/>
  <c r="Q353" i="7"/>
  <c r="AM353" i="7"/>
  <c r="AX353" i="7"/>
  <c r="P353" i="7"/>
  <c r="L717" i="7"/>
  <c r="L271" i="7"/>
  <c r="S722" i="7"/>
  <c r="S717" i="7"/>
  <c r="AZ717" i="7"/>
  <c r="AF696" i="7"/>
  <c r="AY717" i="7"/>
  <c r="AT270" i="7"/>
  <c r="AT696" i="7"/>
  <c r="AR722" i="7"/>
  <c r="AR717" i="7"/>
  <c r="BE696" i="7"/>
  <c r="BE270" i="7"/>
  <c r="AN270" i="7"/>
  <c r="AN696" i="7"/>
  <c r="BB701" i="7"/>
  <c r="O717" i="7"/>
  <c r="T696" i="7"/>
  <c r="P738" i="7"/>
  <c r="I738" i="7"/>
  <c r="BC717" i="7"/>
  <c r="S696" i="7"/>
  <c r="L696" i="7"/>
  <c r="U717" i="7"/>
  <c r="Q717" i="7"/>
  <c r="K271" i="7"/>
  <c r="K717" i="7"/>
  <c r="G721" i="7"/>
  <c r="G723" i="7" s="1"/>
  <c r="H720" i="7" s="1"/>
  <c r="H723" i="7" s="1"/>
  <c r="I720" i="7" s="1"/>
  <c r="I723" i="7" s="1"/>
  <c r="J720" i="7" s="1"/>
  <c r="J723" i="7" s="1"/>
  <c r="K720" i="7" s="1"/>
  <c r="K723" i="7" s="1"/>
  <c r="L720" i="7" s="1"/>
  <c r="L723" i="7" s="1"/>
  <c r="M720" i="7" s="1"/>
  <c r="M723" i="7" s="1"/>
  <c r="N720" i="7" s="1"/>
  <c r="N723" i="7" s="1"/>
  <c r="O720" i="7" s="1"/>
  <c r="O723" i="7" s="1"/>
  <c r="P720" i="7" s="1"/>
  <c r="P723" i="7" s="1"/>
  <c r="Q720" i="7" s="1"/>
  <c r="Q723" i="7" s="1"/>
  <c r="R720" i="7" s="1"/>
  <c r="H726" i="7"/>
  <c r="AJ717" i="7"/>
  <c r="AU272" i="7"/>
  <c r="BE743" i="7"/>
  <c r="AH743" i="7"/>
  <c r="X743" i="7"/>
  <c r="AV271" i="7"/>
  <c r="AV717" i="7"/>
  <c r="AN717" i="7"/>
  <c r="AH696" i="7"/>
  <c r="AH701" i="7"/>
  <c r="N701" i="7"/>
  <c r="O272" i="7"/>
  <c r="R738" i="7"/>
  <c r="S272" i="7"/>
  <c r="V717" i="7"/>
  <c r="V271" i="7"/>
  <c r="BA272" i="7"/>
  <c r="BB271" i="7"/>
  <c r="BB717" i="7"/>
  <c r="AC738" i="7"/>
  <c r="AC743" i="7"/>
  <c r="AW696" i="7"/>
  <c r="AW701" i="7"/>
  <c r="AA696" i="7"/>
  <c r="AT271" i="7"/>
  <c r="AT717" i="7"/>
  <c r="AG272" i="7"/>
  <c r="AG738" i="7"/>
  <c r="AJ270" i="7"/>
  <c r="AJ696" i="7"/>
  <c r="G742" i="7"/>
  <c r="G744" i="7" s="1"/>
  <c r="H741" i="7" s="1"/>
  <c r="H744" i="7" s="1"/>
  <c r="I741" i="7" s="1"/>
  <c r="I744" i="7" s="1"/>
  <c r="J741" i="7" s="1"/>
  <c r="J744" i="7" s="1"/>
  <c r="K741" i="7" s="1"/>
  <c r="K744" i="7" s="1"/>
  <c r="L741" i="7" s="1"/>
  <c r="L744" i="7" s="1"/>
  <c r="M741" i="7" s="1"/>
  <c r="M744" i="7" s="1"/>
  <c r="N741" i="7" s="1"/>
  <c r="N744" i="7" s="1"/>
  <c r="O741" i="7" s="1"/>
  <c r="O744" i="7" s="1"/>
  <c r="P741" i="7" s="1"/>
  <c r="P744" i="7" s="1"/>
  <c r="Q741" i="7" s="1"/>
  <c r="Q744" i="7" s="1"/>
  <c r="R741" i="7" s="1"/>
  <c r="R744" i="7" s="1"/>
  <c r="S741" i="7" s="1"/>
  <c r="S744" i="7" s="1"/>
  <c r="T741" i="7" s="1"/>
  <c r="T744" i="7" s="1"/>
  <c r="U741" i="7" s="1"/>
  <c r="J738" i="7"/>
  <c r="U696" i="7"/>
  <c r="U270" i="7"/>
  <c r="Q738" i="7"/>
  <c r="M717" i="7"/>
  <c r="P271" i="7"/>
  <c r="P717" i="7"/>
  <c r="AG717" i="7"/>
  <c r="AK272" i="7"/>
  <c r="AQ272" i="7"/>
  <c r="Y271" i="7"/>
  <c r="Y717" i="7"/>
  <c r="AK722" i="7"/>
  <c r="AK717" i="7"/>
  <c r="BA722" i="7"/>
  <c r="BA717" i="7"/>
  <c r="AE270" i="7"/>
  <c r="AE696" i="7"/>
  <c r="AE285" i="7" s="1"/>
  <c r="AQ696" i="7"/>
  <c r="AQ270" i="7"/>
  <c r="AC270" i="7"/>
  <c r="AB717" i="7"/>
  <c r="K696" i="7"/>
  <c r="AD271" i="7"/>
  <c r="AB271" i="7"/>
  <c r="Z284" i="7"/>
  <c r="AE275" i="7"/>
  <c r="AE284" i="7" s="1"/>
  <c r="M275" i="7"/>
  <c r="M284" i="7" s="1"/>
  <c r="Z759" i="7"/>
  <c r="L759" i="7"/>
  <c r="S275" i="7"/>
  <c r="S284" i="7" s="1"/>
  <c r="X275" i="7"/>
  <c r="X284" i="7" s="1"/>
  <c r="BE759" i="7"/>
  <c r="W275" i="7"/>
  <c r="W284" i="7" s="1"/>
  <c r="J759" i="7"/>
  <c r="AF759" i="7"/>
  <c r="AI759" i="7"/>
  <c r="BB275" i="7"/>
  <c r="AB759" i="7"/>
  <c r="J661" i="7"/>
  <c r="J226" i="7"/>
  <c r="U661" i="7"/>
  <c r="M619" i="7"/>
  <c r="O645" i="7"/>
  <c r="O640" i="7"/>
  <c r="AF640" i="7"/>
  <c r="AF225" i="7"/>
  <c r="AS640" i="7"/>
  <c r="AS225" i="7"/>
  <c r="AI224" i="7"/>
  <c r="AC224" i="7"/>
  <c r="BD619" i="7"/>
  <c r="BD224" i="7"/>
  <c r="U640" i="7"/>
  <c r="AN225" i="7"/>
  <c r="AN640" i="7"/>
  <c r="AK640" i="7"/>
  <c r="M224" i="7"/>
  <c r="N661" i="7"/>
  <c r="S661" i="7"/>
  <c r="R666" i="7"/>
  <c r="T226" i="7"/>
  <c r="T661" i="7"/>
  <c r="U226" i="7"/>
  <c r="K224" i="7"/>
  <c r="Z661" i="7"/>
  <c r="Z666" i="7"/>
  <c r="BD640" i="7"/>
  <c r="BD225" i="7"/>
  <c r="X640" i="7"/>
  <c r="X225" i="7"/>
  <c r="AM661" i="7"/>
  <c r="AH619" i="7"/>
  <c r="AH239" i="7" s="1"/>
  <c r="R624" i="7"/>
  <c r="R619" i="7"/>
  <c r="R239" i="7" s="1"/>
  <c r="P645" i="7"/>
  <c r="P640" i="7"/>
  <c r="AD640" i="7"/>
  <c r="AJ640" i="7"/>
  <c r="AJ645" i="7"/>
  <c r="AV226" i="7"/>
  <c r="S619" i="7"/>
  <c r="N225" i="7"/>
  <c r="N640" i="7"/>
  <c r="AL640" i="7"/>
  <c r="AF661" i="7"/>
  <c r="AB640" i="7"/>
  <c r="AB239" i="7" s="1"/>
  <c r="AT226" i="7"/>
  <c r="AT661" i="7"/>
  <c r="AR640" i="7"/>
  <c r="AR645" i="7"/>
  <c r="AV225" i="7"/>
  <c r="AV640" i="7"/>
  <c r="BC624" i="7"/>
  <c r="BC619" i="7"/>
  <c r="BC239" i="7" s="1"/>
  <c r="AC661" i="7"/>
  <c r="AC226" i="7"/>
  <c r="AI640" i="7"/>
  <c r="AI225" i="7"/>
  <c r="X661" i="7"/>
  <c r="AQ619" i="7"/>
  <c r="AQ661" i="7"/>
  <c r="H229" i="7"/>
  <c r="H238" i="7" s="1"/>
  <c r="Z229" i="7"/>
  <c r="Z238" i="7" s="1"/>
  <c r="W682" i="7"/>
  <c r="AN682" i="7"/>
  <c r="S682" i="7"/>
  <c r="V682" i="7"/>
  <c r="AJ682" i="7"/>
  <c r="AU682" i="7"/>
  <c r="AQ682" i="7"/>
  <c r="AB229" i="7"/>
  <c r="AB238" i="7" s="1"/>
  <c r="I682" i="7"/>
  <c r="BA682" i="7"/>
  <c r="I176" i="7"/>
  <c r="I541" i="7"/>
  <c r="H567" i="7"/>
  <c r="H568" i="7" s="1"/>
  <c r="I565" i="7" s="1"/>
  <c r="I568" i="7" s="1"/>
  <c r="J565" i="7" s="1"/>
  <c r="J568" i="7" s="1"/>
  <c r="K565" i="7" s="1"/>
  <c r="K568" i="7" s="1"/>
  <c r="L565" i="7" s="1"/>
  <c r="L568" i="7" s="1"/>
  <c r="M565" i="7" s="1"/>
  <c r="M568" i="7" s="1"/>
  <c r="N565" i="7" s="1"/>
  <c r="N568" i="7" s="1"/>
  <c r="O565" i="7" s="1"/>
  <c r="O568" i="7" s="1"/>
  <c r="P565" i="7" s="1"/>
  <c r="P568" i="7" s="1"/>
  <c r="Q565" i="7" s="1"/>
  <c r="AU178" i="7"/>
  <c r="AU583" i="7"/>
  <c r="AT178" i="7"/>
  <c r="AT583" i="7"/>
  <c r="AB541" i="7"/>
  <c r="AB176" i="7"/>
  <c r="AP546" i="7"/>
  <c r="AP541" i="7"/>
  <c r="BC583" i="7"/>
  <c r="BC588" i="7"/>
  <c r="Y541" i="7"/>
  <c r="W541" i="7"/>
  <c r="P562" i="7"/>
  <c r="AI583" i="7"/>
  <c r="K178" i="7"/>
  <c r="K583" i="7"/>
  <c r="T583" i="7"/>
  <c r="T178" i="7"/>
  <c r="AI541" i="7"/>
  <c r="AI191" i="7" s="1"/>
  <c r="AX588" i="7"/>
  <c r="AX583" i="7"/>
  <c r="AE177" i="7"/>
  <c r="AE562" i="7"/>
  <c r="AK177" i="7"/>
  <c r="AK562" i="7"/>
  <c r="AZ176" i="7"/>
  <c r="AZ541" i="7"/>
  <c r="AN178" i="7"/>
  <c r="AN583" i="7"/>
  <c r="AV178" i="7"/>
  <c r="L562" i="7"/>
  <c r="V562" i="7"/>
  <c r="U583" i="7"/>
  <c r="T562" i="7"/>
  <c r="AY541" i="7"/>
  <c r="AU176" i="7"/>
  <c r="V178" i="7"/>
  <c r="V583" i="7"/>
  <c r="AB583" i="7"/>
  <c r="Y562" i="7"/>
  <c r="AJ176" i="7"/>
  <c r="AJ541" i="7"/>
  <c r="AG546" i="7"/>
  <c r="AG178" i="7"/>
  <c r="AG583" i="7"/>
  <c r="AM541" i="7"/>
  <c r="AL588" i="7"/>
  <c r="J541" i="7"/>
  <c r="K176" i="7"/>
  <c r="K541" i="7"/>
  <c r="K562" i="7"/>
  <c r="N562" i="7"/>
  <c r="N177" i="7"/>
  <c r="I562" i="7"/>
  <c r="AH178" i="7"/>
  <c r="AH583" i="7"/>
  <c r="AL176" i="7"/>
  <c r="Z176" i="7"/>
  <c r="AZ178" i="7"/>
  <c r="AZ583" i="7"/>
  <c r="BB541" i="7"/>
  <c r="BB546" i="7"/>
  <c r="O541" i="7"/>
  <c r="AQ583" i="7"/>
  <c r="AP583" i="7"/>
  <c r="V541" i="7"/>
  <c r="M541" i="7"/>
  <c r="AC541" i="7"/>
  <c r="AA541" i="7"/>
  <c r="BD541" i="7"/>
  <c r="X562" i="7"/>
  <c r="BA583" i="7"/>
  <c r="Y583" i="7"/>
  <c r="AN541" i="7"/>
  <c r="AR562" i="7"/>
  <c r="AG562" i="7"/>
  <c r="AW562" i="7"/>
  <c r="AF541" i="7"/>
  <c r="R604" i="7"/>
  <c r="I181" i="7"/>
  <c r="I190" i="7" s="1"/>
  <c r="AU604" i="7"/>
  <c r="AK604" i="7"/>
  <c r="S604" i="7"/>
  <c r="AT181" i="7"/>
  <c r="AT190" i="7" s="1"/>
  <c r="AY604" i="7"/>
  <c r="G511" i="7"/>
  <c r="G513" i="7" s="1"/>
  <c r="H510" i="7" s="1"/>
  <c r="H516" i="7"/>
  <c r="AD132" i="7"/>
  <c r="I465" i="7"/>
  <c r="AK486" i="7"/>
  <c r="AO131" i="7"/>
  <c r="Y486" i="7"/>
  <c r="AW507" i="7"/>
  <c r="I130" i="7"/>
  <c r="AN130" i="7"/>
  <c r="S465" i="7"/>
  <c r="R507" i="7"/>
  <c r="AF507" i="7"/>
  <c r="M486" i="7"/>
  <c r="BB465" i="7"/>
  <c r="BD465" i="7"/>
  <c r="L507" i="7"/>
  <c r="AV486" i="7"/>
  <c r="BD507" i="7"/>
  <c r="AQ507" i="7"/>
  <c r="H486" i="7"/>
  <c r="AN528" i="7"/>
  <c r="AK528" i="7"/>
  <c r="Y135" i="7"/>
  <c r="Y144" i="7" s="1"/>
  <c r="W135" i="7"/>
  <c r="W144" i="7" s="1"/>
  <c r="AI528" i="7"/>
  <c r="AH135" i="7"/>
  <c r="AH144" i="7" s="1"/>
  <c r="V528" i="7"/>
  <c r="AQ83" i="7"/>
  <c r="X408" i="7"/>
  <c r="AU429" i="7"/>
  <c r="AF387" i="7"/>
  <c r="AH387" i="7"/>
  <c r="AN408" i="7"/>
  <c r="AO84" i="7"/>
  <c r="AR408" i="7"/>
  <c r="BA429" i="7"/>
  <c r="BB408" i="7"/>
  <c r="BE83" i="7"/>
  <c r="AV434" i="7"/>
  <c r="J408" i="7"/>
  <c r="AA83" i="7"/>
  <c r="AL387" i="7"/>
  <c r="AF84" i="7"/>
  <c r="AY429" i="7"/>
  <c r="BE450" i="7"/>
  <c r="BC450" i="7"/>
  <c r="M450" i="7"/>
  <c r="AA450" i="7"/>
  <c r="X450" i="7"/>
  <c r="O450" i="7"/>
  <c r="Q450" i="7"/>
  <c r="AC450" i="7"/>
  <c r="Z450" i="7"/>
  <c r="AH450" i="7"/>
  <c r="BC408" i="7"/>
  <c r="W408" i="7"/>
  <c r="AB429" i="7"/>
  <c r="Z429" i="7"/>
  <c r="U408" i="7"/>
  <c r="H408" i="7"/>
  <c r="AA387" i="7"/>
  <c r="P408" i="7"/>
  <c r="AN429" i="7"/>
  <c r="AV387" i="7"/>
  <c r="S408" i="7"/>
  <c r="AT408" i="7"/>
  <c r="AL408" i="7"/>
  <c r="AD408" i="7"/>
  <c r="AZ408" i="7"/>
  <c r="AK408" i="7"/>
  <c r="M413" i="7"/>
  <c r="R408" i="7"/>
  <c r="AC408" i="7"/>
  <c r="L408" i="7"/>
  <c r="AB408" i="7"/>
  <c r="AD429" i="7"/>
  <c r="AF82" i="7"/>
  <c r="BA408" i="7"/>
  <c r="AZ429" i="7"/>
  <c r="AM408" i="7"/>
  <c r="AH408" i="7"/>
  <c r="AW408" i="7"/>
  <c r="AG408" i="7"/>
  <c r="AF408" i="7"/>
  <c r="BB429" i="7"/>
  <c r="AX387" i="7"/>
  <c r="AR387" i="7"/>
  <c r="AL429" i="7"/>
  <c r="N408" i="7"/>
  <c r="H83" i="7"/>
  <c r="AO387" i="7"/>
  <c r="AR429" i="7"/>
  <c r="AG429" i="7"/>
  <c r="S413" i="7"/>
  <c r="Z387" i="7"/>
  <c r="AK387" i="7"/>
  <c r="V387" i="7"/>
  <c r="AD83" i="7"/>
  <c r="H417" i="7"/>
  <c r="AB387" i="7"/>
  <c r="AP429" i="7"/>
  <c r="R387" i="7"/>
  <c r="K408" i="7"/>
  <c r="AS408" i="7"/>
  <c r="BC387" i="7"/>
  <c r="Y408" i="7"/>
  <c r="BE84" i="7"/>
  <c r="AU408" i="7"/>
  <c r="AK429" i="7"/>
  <c r="AT429" i="7"/>
  <c r="AC429" i="7"/>
  <c r="G336" i="7"/>
  <c r="G338" i="7" s="1"/>
  <c r="H335" i="7" s="1"/>
  <c r="H338" i="7" s="1"/>
  <c r="I335" i="7" s="1"/>
  <c r="I338" i="7" s="1"/>
  <c r="J335" i="7" s="1"/>
  <c r="J338" i="7" s="1"/>
  <c r="K335" i="7" s="1"/>
  <c r="K338" i="7" s="1"/>
  <c r="L335" i="7" s="1"/>
  <c r="L338" i="7" s="1"/>
  <c r="M335" i="7" s="1"/>
  <c r="AW37" i="7"/>
  <c r="AS337" i="7"/>
  <c r="BC353" i="7"/>
  <c r="AY332" i="7"/>
  <c r="AA353" i="7"/>
  <c r="Y353" i="7"/>
  <c r="R353" i="7"/>
  <c r="K353" i="7"/>
  <c r="AR36" i="7"/>
  <c r="AD311" i="7"/>
  <c r="AO337" i="7"/>
  <c r="BB353" i="7"/>
  <c r="AY353" i="7"/>
  <c r="AY311" i="7"/>
  <c r="AV353" i="7"/>
  <c r="AU332" i="7"/>
  <c r="AR353" i="7"/>
  <c r="AQ353" i="7"/>
  <c r="AN353" i="7"/>
  <c r="X353" i="7"/>
  <c r="S353" i="7"/>
  <c r="I353" i="7"/>
  <c r="BE374" i="7"/>
  <c r="U374" i="7"/>
  <c r="Q374" i="7"/>
  <c r="Z374" i="7"/>
  <c r="BD374" i="7"/>
  <c r="O374" i="7"/>
  <c r="AF374" i="7"/>
  <c r="AK374" i="7"/>
  <c r="AC374" i="7"/>
  <c r="R374" i="7"/>
  <c r="Y374" i="7"/>
  <c r="AJ374" i="7"/>
  <c r="M374" i="7"/>
  <c r="I374" i="7"/>
  <c r="X374" i="7"/>
  <c r="AO41" i="7"/>
  <c r="Q817" i="7"/>
  <c r="Q818" i="7" s="1"/>
  <c r="Q174" i="7" s="1"/>
  <c r="BA817" i="7"/>
  <c r="BA818" i="7" s="1"/>
  <c r="BA174" i="7" s="1"/>
  <c r="I817" i="7"/>
  <c r="S817" i="7"/>
  <c r="S818" i="7" s="1"/>
  <c r="S174" i="7" s="1"/>
  <c r="O176" i="7"/>
  <c r="AQ817" i="7"/>
  <c r="AQ818" i="7" s="1"/>
  <c r="AQ174" i="7" s="1"/>
  <c r="S541" i="7"/>
  <c r="S176" i="7"/>
  <c r="J177" i="7"/>
  <c r="J562" i="7"/>
  <c r="M604" i="7"/>
  <c r="AZ181" i="7"/>
  <c r="AZ190" i="7" s="1"/>
  <c r="AZ604" i="7"/>
  <c r="AK176" i="7"/>
  <c r="AK541" i="7"/>
  <c r="Y178" i="7"/>
  <c r="O817" i="7"/>
  <c r="AF176" i="7"/>
  <c r="X817" i="7"/>
  <c r="AB817" i="7"/>
  <c r="AX817" i="7"/>
  <c r="AX818" i="7" s="1"/>
  <c r="AX174" i="7" s="1"/>
  <c r="AY817" i="7"/>
  <c r="AY818" i="7" s="1"/>
  <c r="AY174" i="7" s="1"/>
  <c r="O178" i="7"/>
  <c r="W562" i="7"/>
  <c r="W191" i="7" s="1"/>
  <c r="T541" i="7"/>
  <c r="AR177" i="7"/>
  <c r="AS583" i="7"/>
  <c r="O562" i="7"/>
  <c r="AN546" i="7"/>
  <c r="K604" i="7"/>
  <c r="BC604" i="7"/>
  <c r="AF588" i="7"/>
  <c r="Y181" i="7"/>
  <c r="Y190" i="7" s="1"/>
  <c r="Y604" i="7"/>
  <c r="AR546" i="7"/>
  <c r="AR541" i="7"/>
  <c r="X546" i="7"/>
  <c r="AV567" i="7"/>
  <c r="AV562" i="7"/>
  <c r="AQ177" i="7"/>
  <c r="AN177" i="7"/>
  <c r="AN562" i="7"/>
  <c r="AE176" i="7"/>
  <c r="AE541" i="7"/>
  <c r="BD178" i="7"/>
  <c r="BD583" i="7"/>
  <c r="Z583" i="7"/>
  <c r="Z588" i="7"/>
  <c r="AT177" i="7"/>
  <c r="AW177" i="7"/>
  <c r="AH817" i="7"/>
  <c r="AH818" i="7" s="1"/>
  <c r="AH174" i="7" s="1"/>
  <c r="Z817" i="7"/>
  <c r="J583" i="7"/>
  <c r="L541" i="7"/>
  <c r="L176" i="7"/>
  <c r="H550" i="7"/>
  <c r="G545" i="7"/>
  <c r="G547" i="7" s="1"/>
  <c r="H544" i="7" s="1"/>
  <c r="H547" i="7" s="1"/>
  <c r="I544" i="7" s="1"/>
  <c r="I547" i="7" s="1"/>
  <c r="J544" i="7" s="1"/>
  <c r="J547" i="7" s="1"/>
  <c r="K544" i="7" s="1"/>
  <c r="K547" i="7" s="1"/>
  <c r="L544" i="7" s="1"/>
  <c r="L547" i="7" s="1"/>
  <c r="M544" i="7" s="1"/>
  <c r="M547" i="7" s="1"/>
  <c r="N544" i="7" s="1"/>
  <c r="N547" i="7" s="1"/>
  <c r="O544" i="7" s="1"/>
  <c r="O547" i="7" s="1"/>
  <c r="P544" i="7" s="1"/>
  <c r="P547" i="7" s="1"/>
  <c r="Q544" i="7" s="1"/>
  <c r="Q547" i="7" s="1"/>
  <c r="R544" i="7" s="1"/>
  <c r="R547" i="7" s="1"/>
  <c r="S544" i="7" s="1"/>
  <c r="S547" i="7" s="1"/>
  <c r="T544" i="7" s="1"/>
  <c r="T547" i="7" s="1"/>
  <c r="U544" i="7" s="1"/>
  <c r="U547" i="7" s="1"/>
  <c r="V544" i="7" s="1"/>
  <c r="V547" i="7" s="1"/>
  <c r="W544" i="7" s="1"/>
  <c r="W547" i="7" s="1"/>
  <c r="X544" i="7" s="1"/>
  <c r="X547" i="7" s="1"/>
  <c r="Y544" i="7" s="1"/>
  <c r="Y547" i="7" s="1"/>
  <c r="Z544" i="7" s="1"/>
  <c r="Z547" i="7" s="1"/>
  <c r="AA544" i="7" s="1"/>
  <c r="AA547" i="7" s="1"/>
  <c r="AB544" i="7" s="1"/>
  <c r="AB547" i="7" s="1"/>
  <c r="AC544" i="7" s="1"/>
  <c r="AC547" i="7" s="1"/>
  <c r="AD544" i="7" s="1"/>
  <c r="AD547" i="7" s="1"/>
  <c r="AE544" i="7" s="1"/>
  <c r="AE547" i="7" s="1"/>
  <c r="AF544" i="7" s="1"/>
  <c r="AF547" i="7" s="1"/>
  <c r="AG544" i="7" s="1"/>
  <c r="S567" i="7"/>
  <c r="S562" i="7"/>
  <c r="AI562" i="7"/>
  <c r="AF181" i="7"/>
  <c r="AF190" i="7" s="1"/>
  <c r="AF604" i="7"/>
  <c r="AF177" i="7"/>
  <c r="AY562" i="7"/>
  <c r="BC176" i="7"/>
  <c r="BC541" i="7"/>
  <c r="AU562" i="7"/>
  <c r="M562" i="7"/>
  <c r="G818" i="7"/>
  <c r="J817" i="7"/>
  <c r="P541" i="7"/>
  <c r="H541" i="7"/>
  <c r="K817" i="7"/>
  <c r="AZ817" i="7"/>
  <c r="AZ818" i="7" s="1"/>
  <c r="AZ174" i="7" s="1"/>
  <c r="AC817" i="7"/>
  <c r="AI817" i="7"/>
  <c r="AI818" i="7" s="1"/>
  <c r="AI174" i="7" s="1"/>
  <c r="H583" i="7"/>
  <c r="AO541" i="7"/>
  <c r="AD583" i="7"/>
  <c r="AG177" i="7"/>
  <c r="P588" i="7"/>
  <c r="P583" i="7"/>
  <c r="R541" i="7"/>
  <c r="Q176" i="7"/>
  <c r="Q541" i="7"/>
  <c r="AA181" i="7"/>
  <c r="AA190" i="7" s="1"/>
  <c r="AY583" i="7"/>
  <c r="BA604" i="7"/>
  <c r="BA181" i="7"/>
  <c r="BA190" i="7" s="1"/>
  <c r="O181" i="7"/>
  <c r="O190" i="7" s="1"/>
  <c r="O604" i="7"/>
  <c r="BE541" i="7"/>
  <c r="AC178" i="7"/>
  <c r="AC583" i="7"/>
  <c r="AQ541" i="7"/>
  <c r="N541" i="7"/>
  <c r="AC507" i="7"/>
  <c r="AC512" i="7"/>
  <c r="Y512" i="7"/>
  <c r="Y507" i="7"/>
  <c r="AE131" i="7"/>
  <c r="BB130" i="7"/>
  <c r="AN802" i="7"/>
  <c r="G804" i="7"/>
  <c r="V802" i="7"/>
  <c r="AM802" i="7"/>
  <c r="AV802" i="7"/>
  <c r="AC802" i="7"/>
  <c r="AK802" i="7"/>
  <c r="K802" i="7"/>
  <c r="N802" i="7"/>
  <c r="AU802" i="7"/>
  <c r="AU804" i="7" s="1"/>
  <c r="AU128" i="7" s="1"/>
  <c r="AA802" i="7"/>
  <c r="Z802" i="7"/>
  <c r="Z804" i="7" s="1"/>
  <c r="Z128" i="7" s="1"/>
  <c r="AE507" i="7"/>
  <c r="AE512" i="7"/>
  <c r="AO507" i="7"/>
  <c r="AO512" i="7"/>
  <c r="AZ486" i="7"/>
  <c r="AU491" i="7"/>
  <c r="BE491" i="7"/>
  <c r="BE486" i="7"/>
  <c r="M130" i="7"/>
  <c r="M465" i="7"/>
  <c r="X465" i="7"/>
  <c r="BE528" i="7"/>
  <c r="BE135" i="7"/>
  <c r="BE144" i="7" s="1"/>
  <c r="I528" i="7"/>
  <c r="I135" i="7"/>
  <c r="I144" i="7" s="1"/>
  <c r="BA470" i="7"/>
  <c r="BA465" i="7"/>
  <c r="AB465" i="7"/>
  <c r="V507" i="7"/>
  <c r="O507" i="7"/>
  <c r="O512" i="7"/>
  <c r="K131" i="7"/>
  <c r="K486" i="7"/>
  <c r="AL131" i="7"/>
  <c r="P465" i="7"/>
  <c r="AB486" i="7"/>
  <c r="AR802" i="7"/>
  <c r="AF802" i="7"/>
  <c r="AQ802" i="7"/>
  <c r="AB802" i="7"/>
  <c r="AF132" i="7"/>
  <c r="P130" i="7"/>
  <c r="U465" i="7"/>
  <c r="O465" i="7"/>
  <c r="Z465" i="7"/>
  <c r="AW528" i="7"/>
  <c r="AH465" i="7"/>
  <c r="Q802" i="7"/>
  <c r="AI802" i="7"/>
  <c r="AI804" i="7" s="1"/>
  <c r="AI128" i="7" s="1"/>
  <c r="BE802" i="7"/>
  <c r="AW802" i="7"/>
  <c r="AY802" i="7"/>
  <c r="AY804" i="7" s="1"/>
  <c r="AY128" i="7" s="1"/>
  <c r="BC802" i="7"/>
  <c r="AT802" i="7"/>
  <c r="AO802" i="7"/>
  <c r="AZ802" i="7"/>
  <c r="AF465" i="7"/>
  <c r="Z507" i="7"/>
  <c r="AT507" i="7"/>
  <c r="AT486" i="7"/>
  <c r="AW486" i="7"/>
  <c r="BC465" i="7"/>
  <c r="AH486" i="7"/>
  <c r="AH491" i="7"/>
  <c r="P507" i="7"/>
  <c r="P512" i="7"/>
  <c r="AX135" i="7"/>
  <c r="AX144" i="7" s="1"/>
  <c r="AR803" i="7"/>
  <c r="AO803" i="7"/>
  <c r="AO804" i="7" s="1"/>
  <c r="AO128" i="7" s="1"/>
  <c r="AA470" i="7"/>
  <c r="AA465" i="7"/>
  <c r="AG135" i="7"/>
  <c r="AG144" i="7" s="1"/>
  <c r="AG528" i="7"/>
  <c r="L135" i="7"/>
  <c r="L144" i="7" s="1"/>
  <c r="L528" i="7"/>
  <c r="AO528" i="7"/>
  <c r="AO135" i="7"/>
  <c r="AO144" i="7" s="1"/>
  <c r="AU528" i="7"/>
  <c r="AU135" i="7"/>
  <c r="AU144" i="7" s="1"/>
  <c r="AU130" i="7"/>
  <c r="AU465" i="7"/>
  <c r="S131" i="7"/>
  <c r="S486" i="7"/>
  <c r="I126" i="7"/>
  <c r="I141" i="7" s="1"/>
  <c r="G151" i="7"/>
  <c r="K512" i="7"/>
  <c r="K507" i="7"/>
  <c r="N132" i="7"/>
  <c r="U132" i="7"/>
  <c r="U507" i="7"/>
  <c r="BC803" i="7"/>
  <c r="AM803" i="7"/>
  <c r="W803" i="7"/>
  <c r="W804" i="7" s="1"/>
  <c r="W128" i="7" s="1"/>
  <c r="H803" i="7"/>
  <c r="H804" i="7" s="1"/>
  <c r="H128" i="7" s="1"/>
  <c r="AK803" i="7"/>
  <c r="AK804" i="7" s="1"/>
  <c r="AK128" i="7" s="1"/>
  <c r="P803" i="7"/>
  <c r="AZ803" i="7"/>
  <c r="AD803" i="7"/>
  <c r="AD804" i="7" s="1"/>
  <c r="AD128" i="7" s="1"/>
  <c r="I803" i="7"/>
  <c r="I804" i="7" s="1"/>
  <c r="I128" i="7" s="1"/>
  <c r="AB803" i="7"/>
  <c r="X803" i="7"/>
  <c r="V803" i="7"/>
  <c r="V804" i="7" s="1"/>
  <c r="V128" i="7" s="1"/>
  <c r="AC803" i="7"/>
  <c r="AY803" i="7"/>
  <c r="AI803" i="7"/>
  <c r="S803" i="7"/>
  <c r="S804" i="7" s="1"/>
  <c r="S128" i="7" s="1"/>
  <c r="BA803" i="7"/>
  <c r="BA804" i="7" s="1"/>
  <c r="BA128" i="7" s="1"/>
  <c r="AF803" i="7"/>
  <c r="J803" i="7"/>
  <c r="J804" i="7" s="1"/>
  <c r="J128" i="7" s="1"/>
  <c r="AT803" i="7"/>
  <c r="Y803" i="7"/>
  <c r="Y804" i="7" s="1"/>
  <c r="Y128" i="7" s="1"/>
  <c r="AX803" i="7"/>
  <c r="AX804" i="7" s="1"/>
  <c r="AX128" i="7" s="1"/>
  <c r="Q803" i="7"/>
  <c r="M803" i="7"/>
  <c r="M804" i="7" s="1"/>
  <c r="M128" i="7" s="1"/>
  <c r="L803" i="7"/>
  <c r="L804" i="7" s="1"/>
  <c r="L128" i="7" s="1"/>
  <c r="R803" i="7"/>
  <c r="R804" i="7" s="1"/>
  <c r="R128" i="7" s="1"/>
  <c r="AE803" i="7"/>
  <c r="AE804" i="7" s="1"/>
  <c r="AE128" i="7" s="1"/>
  <c r="AV803" i="7"/>
  <c r="BD803" i="7"/>
  <c r="BD804" i="7" s="1"/>
  <c r="BD128" i="7" s="1"/>
  <c r="T803" i="7"/>
  <c r="T804" i="7" s="1"/>
  <c r="T128" i="7" s="1"/>
  <c r="AS803" i="7"/>
  <c r="AS804" i="7" s="1"/>
  <c r="AS128" i="7" s="1"/>
  <c r="BB803" i="7"/>
  <c r="BB804" i="7" s="1"/>
  <c r="BB128" i="7" s="1"/>
  <c r="AQ803" i="7"/>
  <c r="K803" i="7"/>
  <c r="U803" i="7"/>
  <c r="U804" i="7" s="1"/>
  <c r="U128" i="7" s="1"/>
  <c r="AJ803" i="7"/>
  <c r="AJ804" i="7" s="1"/>
  <c r="AJ128" i="7" s="1"/>
  <c r="AL803" i="7"/>
  <c r="AL804" i="7" s="1"/>
  <c r="AL128" i="7" s="1"/>
  <c r="AG803" i="7"/>
  <c r="AG804" i="7" s="1"/>
  <c r="AG128" i="7" s="1"/>
  <c r="AA803" i="7"/>
  <c r="BE803" i="7"/>
  <c r="I486" i="7"/>
  <c r="P804" i="7"/>
  <c r="P128" i="7" s="1"/>
  <c r="X804" i="7"/>
  <c r="X128" i="7" s="1"/>
  <c r="L512" i="7"/>
  <c r="AN803" i="7"/>
  <c r="N803" i="7"/>
  <c r="O803" i="7"/>
  <c r="O804" i="7" s="1"/>
  <c r="O128" i="7" s="1"/>
  <c r="BB131" i="7"/>
  <c r="BB486" i="7"/>
  <c r="BA512" i="7"/>
  <c r="BA507" i="7"/>
  <c r="AS132" i="7"/>
  <c r="AS507" i="7"/>
  <c r="BE132" i="7"/>
  <c r="BE507" i="7"/>
  <c r="AI130" i="7"/>
  <c r="AI465" i="7"/>
  <c r="V130" i="7"/>
  <c r="V465" i="7"/>
  <c r="V131" i="7"/>
  <c r="V486" i="7"/>
  <c r="AY130" i="7"/>
  <c r="AY465" i="7"/>
  <c r="X135" i="7"/>
  <c r="X144" i="7" s="1"/>
  <c r="X528" i="7"/>
  <c r="AG132" i="7"/>
  <c r="Z130" i="7"/>
  <c r="AA804" i="7"/>
  <c r="AA128" i="7" s="1"/>
  <c r="AL465" i="7"/>
  <c r="X486" i="7"/>
  <c r="AB135" i="7"/>
  <c r="AB144" i="7" s="1"/>
  <c r="N470" i="7"/>
  <c r="N465" i="7"/>
  <c r="G490" i="7"/>
  <c r="G492" i="7" s="1"/>
  <c r="H489" i="7" s="1"/>
  <c r="H492" i="7" s="1"/>
  <c r="I489" i="7" s="1"/>
  <c r="I492" i="7" s="1"/>
  <c r="J489" i="7" s="1"/>
  <c r="H496" i="7"/>
  <c r="H134" i="7" s="1"/>
  <c r="H143" i="7" s="1"/>
  <c r="BB132" i="7"/>
  <c r="BB507" i="7"/>
  <c r="BA131" i="7"/>
  <c r="AC528" i="7"/>
  <c r="AC135" i="7"/>
  <c r="AC144" i="7" s="1"/>
  <c r="AY528" i="7"/>
  <c r="AY135" i="7"/>
  <c r="AY144" i="7" s="1"/>
  <c r="K528" i="7"/>
  <c r="BA528" i="7"/>
  <c r="M507" i="7"/>
  <c r="AS130" i="7"/>
  <c r="AS465" i="7"/>
  <c r="BB528" i="7"/>
  <c r="W465" i="7"/>
  <c r="H135" i="7"/>
  <c r="H144" i="7" s="1"/>
  <c r="U95" i="7"/>
  <c r="Y429" i="7"/>
  <c r="S82" i="7"/>
  <c r="K465" i="7"/>
  <c r="Q130" i="7"/>
  <c r="Q465" i="7"/>
  <c r="H465" i="7"/>
  <c r="H130" i="7"/>
  <c r="O661" i="7"/>
  <c r="O226" i="7"/>
  <c r="S588" i="7"/>
  <c r="S583" i="7"/>
  <c r="P270" i="7"/>
  <c r="S132" i="7"/>
  <c r="S507" i="7"/>
  <c r="J619" i="7"/>
  <c r="AY283" i="7"/>
  <c r="AJ413" i="7"/>
  <c r="AJ408" i="7"/>
  <c r="AQ434" i="7"/>
  <c r="AQ429" i="7"/>
  <c r="BD84" i="7"/>
  <c r="BD429" i="7"/>
  <c r="AW434" i="7"/>
  <c r="AW429" i="7"/>
  <c r="AU92" i="7"/>
  <c r="AR186" i="7"/>
  <c r="U168" i="7"/>
  <c r="X168" i="7"/>
  <c r="AN168" i="7"/>
  <c r="AQ168" i="7"/>
  <c r="AU168" i="7"/>
  <c r="G103" i="7"/>
  <c r="G104" i="7" s="1"/>
  <c r="G105" i="7" s="1"/>
  <c r="M16" i="1" s="1"/>
  <c r="H78" i="7"/>
  <c r="AK168" i="7"/>
  <c r="Z567" i="7"/>
  <c r="Z562" i="7"/>
  <c r="K84" i="7"/>
  <c r="P226" i="7"/>
  <c r="P661" i="7"/>
  <c r="J701" i="7"/>
  <c r="J696" i="7"/>
  <c r="H512" i="7"/>
  <c r="H507" i="7"/>
  <c r="J132" i="7"/>
  <c r="J507" i="7"/>
  <c r="R465" i="7"/>
  <c r="H82" i="7"/>
  <c r="AV413" i="7"/>
  <c r="AV408" i="7"/>
  <c r="AI84" i="7"/>
  <c r="AI429" i="7"/>
  <c r="AC177" i="7"/>
  <c r="AC562" i="7"/>
  <c r="AB696" i="7"/>
  <c r="AB270" i="7"/>
  <c r="AI92" i="7"/>
  <c r="S140" i="7"/>
  <c r="AU624" i="7"/>
  <c r="V74" i="7"/>
  <c r="H187" i="7"/>
  <c r="AN817" i="7"/>
  <c r="AD817" i="7"/>
  <c r="AM817" i="7"/>
  <c r="AS817" i="7"/>
  <c r="AS818" i="7" s="1"/>
  <c r="AS174" i="7" s="1"/>
  <c r="Y817" i="7"/>
  <c r="AT817" i="7"/>
  <c r="N817" i="7"/>
  <c r="AF817" i="7"/>
  <c r="AF818" i="7" s="1"/>
  <c r="AF174" i="7" s="1"/>
  <c r="BC817" i="7"/>
  <c r="BC818" i="7" s="1"/>
  <c r="BC174" i="7" s="1"/>
  <c r="AV817" i="7"/>
  <c r="AL817" i="7"/>
  <c r="AW817" i="7"/>
  <c r="AW818" i="7" s="1"/>
  <c r="AW174" i="7" s="1"/>
  <c r="AU817" i="7"/>
  <c r="AU818" i="7" s="1"/>
  <c r="AU174" i="7" s="1"/>
  <c r="BD817" i="7"/>
  <c r="BD818" i="7" s="1"/>
  <c r="BD174" i="7" s="1"/>
  <c r="AO817" i="7"/>
  <c r="M817" i="7"/>
  <c r="R817" i="7"/>
  <c r="AJ817" i="7"/>
  <c r="T817" i="7"/>
  <c r="T818" i="7" s="1"/>
  <c r="T174" i="7" s="1"/>
  <c r="BB817" i="7"/>
  <c r="BB818" i="7" s="1"/>
  <c r="BB174" i="7" s="1"/>
  <c r="AE817" i="7"/>
  <c r="L817" i="7"/>
  <c r="AR817" i="7"/>
  <c r="AR818" i="7" s="1"/>
  <c r="AR174" i="7" s="1"/>
  <c r="BE817" i="7"/>
  <c r="BE818" i="7" s="1"/>
  <c r="BE174" i="7" s="1"/>
  <c r="AA817" i="7"/>
  <c r="U817" i="7"/>
  <c r="H817" i="7"/>
  <c r="H818" i="7" s="1"/>
  <c r="H174" i="7" s="1"/>
  <c r="W817" i="7"/>
  <c r="P387" i="7"/>
  <c r="P392" i="7"/>
  <c r="M82" i="7"/>
  <c r="M387" i="7"/>
  <c r="V270" i="7"/>
  <c r="V696" i="7"/>
  <c r="M696" i="7"/>
  <c r="M270" i="7"/>
  <c r="N271" i="7"/>
  <c r="N717" i="7"/>
  <c r="V225" i="7"/>
  <c r="V640" i="7"/>
  <c r="BE826" i="7"/>
  <c r="BE830" i="7" s="1"/>
  <c r="U826" i="7"/>
  <c r="U830" i="7" s="1"/>
  <c r="L826" i="7"/>
  <c r="L830" i="7" s="1"/>
  <c r="L832" i="7" s="1"/>
  <c r="L222" i="7" s="1"/>
  <c r="J826" i="7"/>
  <c r="J830" i="7" s="1"/>
  <c r="BA826" i="7"/>
  <c r="BA830" i="7" s="1"/>
  <c r="BA832" i="7" s="1"/>
  <c r="BA222" i="7" s="1"/>
  <c r="AG826" i="7"/>
  <c r="AG830" i="7" s="1"/>
  <c r="I826" i="7"/>
  <c r="W826" i="7"/>
  <c r="W830" i="7" s="1"/>
  <c r="V826" i="7"/>
  <c r="AN826" i="7"/>
  <c r="AP826" i="7"/>
  <c r="T826" i="7"/>
  <c r="T830" i="7" s="1"/>
  <c r="T832" i="7" s="1"/>
  <c r="T222" i="7" s="1"/>
  <c r="X826" i="7"/>
  <c r="AS826" i="7"/>
  <c r="AS830" i="7" s="1"/>
  <c r="AR826" i="7"/>
  <c r="AR830" i="7" s="1"/>
  <c r="H826" i="7"/>
  <c r="H830" i="7" s="1"/>
  <c r="N826" i="7"/>
  <c r="N830" i="7" s="1"/>
  <c r="AI826" i="7"/>
  <c r="AI830" i="7" s="1"/>
  <c r="AA826" i="7"/>
  <c r="AA830" i="7" s="1"/>
  <c r="Z826" i="7"/>
  <c r="Z830" i="7" s="1"/>
  <c r="AJ826" i="7"/>
  <c r="AJ830" i="7" s="1"/>
  <c r="BB826" i="7"/>
  <c r="BB830" i="7" s="1"/>
  <c r="AQ826" i="7"/>
  <c r="AQ830" i="7" s="1"/>
  <c r="R826" i="7"/>
  <c r="R830" i="7" s="1"/>
  <c r="R832" i="7" s="1"/>
  <c r="R222" i="7" s="1"/>
  <c r="AH826" i="7"/>
  <c r="AH830" i="7" s="1"/>
  <c r="AK826" i="7"/>
  <c r="AK830" i="7" s="1"/>
  <c r="AK832" i="7" s="1"/>
  <c r="AK222" i="7" s="1"/>
  <c r="AM826" i="7"/>
  <c r="AM830" i="7" s="1"/>
  <c r="AM832" i="7" s="1"/>
  <c r="AM222" i="7" s="1"/>
  <c r="AB826" i="7"/>
  <c r="AB830" i="7" s="1"/>
  <c r="AB832" i="7" s="1"/>
  <c r="AB222" i="7" s="1"/>
  <c r="AX826" i="7"/>
  <c r="AX830" i="7" s="1"/>
  <c r="AT826" i="7"/>
  <c r="AT830" i="7" s="1"/>
  <c r="BC826" i="7"/>
  <c r="BC830" i="7" s="1"/>
  <c r="BC832" i="7" s="1"/>
  <c r="BC222" i="7" s="1"/>
  <c r="X392" i="7"/>
  <c r="X387" i="7"/>
  <c r="W82" i="7"/>
  <c r="H696" i="7"/>
  <c r="H285" i="7" s="1"/>
  <c r="H701" i="7"/>
  <c r="BC84" i="7"/>
  <c r="BC429" i="7"/>
  <c r="AP83" i="7"/>
  <c r="AP408" i="7"/>
  <c r="AO562" i="7"/>
  <c r="AO177" i="7"/>
  <c r="AK229" i="7"/>
  <c r="AK238" i="7" s="1"/>
  <c r="AK682" i="7"/>
  <c r="O682" i="7"/>
  <c r="O229" i="7"/>
  <c r="O238" i="7" s="1"/>
  <c r="AM229" i="7"/>
  <c r="AM238" i="7" s="1"/>
  <c r="AM682" i="7"/>
  <c r="BE645" i="7"/>
  <c r="BE640" i="7"/>
  <c r="AA226" i="7"/>
  <c r="AA661" i="7"/>
  <c r="AJ666" i="7"/>
  <c r="AJ661" i="7"/>
  <c r="BB229" i="7"/>
  <c r="BB238" i="7" s="1"/>
  <c r="BB682" i="7"/>
  <c r="AJ759" i="7"/>
  <c r="AJ275" i="7"/>
  <c r="AJ284" i="7" s="1"/>
  <c r="AE130" i="7"/>
  <c r="L666" i="7"/>
  <c r="L661" i="7"/>
  <c r="I507" i="7"/>
  <c r="AA131" i="7"/>
  <c r="AA486" i="7"/>
  <c r="O408" i="7"/>
  <c r="O83" i="7"/>
  <c r="Z83" i="7"/>
  <c r="Z408" i="7"/>
  <c r="G700" i="7"/>
  <c r="G702" i="7" s="1"/>
  <c r="H699" i="7" s="1"/>
  <c r="H705" i="7"/>
  <c r="AY408" i="7"/>
  <c r="AY83" i="7"/>
  <c r="AR512" i="7"/>
  <c r="AX512" i="7"/>
  <c r="AP181" i="7"/>
  <c r="AP190" i="7" s="1"/>
  <c r="AP604" i="7"/>
  <c r="AH177" i="7"/>
  <c r="AH562" i="7"/>
  <c r="AQ831" i="7"/>
  <c r="AA831" i="7"/>
  <c r="K831" i="7"/>
  <c r="K832" i="7" s="1"/>
  <c r="K222" i="7" s="1"/>
  <c r="AT831" i="7"/>
  <c r="Y831" i="7"/>
  <c r="Y832" i="7" s="1"/>
  <c r="Y222" i="7" s="1"/>
  <c r="BB831" i="7"/>
  <c r="Z831" i="7"/>
  <c r="AC831" i="7"/>
  <c r="AC832" i="7" s="1"/>
  <c r="AC222" i="7" s="1"/>
  <c r="AL831" i="7"/>
  <c r="AL832" i="7" s="1"/>
  <c r="AL222" i="7" s="1"/>
  <c r="J831" i="7"/>
  <c r="AH831" i="7"/>
  <c r="U831" i="7"/>
  <c r="AU831" i="7"/>
  <c r="AU832" i="7" s="1"/>
  <c r="AU222" i="7" s="1"/>
  <c r="AE831" i="7"/>
  <c r="O831" i="7"/>
  <c r="AZ831" i="7"/>
  <c r="AZ832" i="7" s="1"/>
  <c r="AZ222" i="7" s="1"/>
  <c r="AD831" i="7"/>
  <c r="AD832" i="7" s="1"/>
  <c r="AD222" i="7" s="1"/>
  <c r="I831" i="7"/>
  <c r="AG831" i="7"/>
  <c r="AR831" i="7"/>
  <c r="AS831" i="7"/>
  <c r="Q831" i="7"/>
  <c r="V831" i="7"/>
  <c r="AW831" i="7"/>
  <c r="I830" i="7"/>
  <c r="I832" i="7" s="1"/>
  <c r="I222" i="7" s="1"/>
  <c r="V830" i="7"/>
  <c r="V832" i="7" s="1"/>
  <c r="V222" i="7" s="1"/>
  <c r="AN830" i="7"/>
  <c r="AP830" i="7"/>
  <c r="AP832" i="7" s="1"/>
  <c r="AP222" i="7" s="1"/>
  <c r="X830" i="7"/>
  <c r="X832" i="7" s="1"/>
  <c r="X222" i="7" s="1"/>
  <c r="X507" i="7"/>
  <c r="L486" i="7"/>
  <c r="R722" i="7"/>
  <c r="R723" i="7" s="1"/>
  <c r="S720" i="7" s="1"/>
  <c r="R717" i="7"/>
  <c r="P131" i="7"/>
  <c r="I413" i="7"/>
  <c r="I414" i="7" s="1"/>
  <c r="J411" i="7" s="1"/>
  <c r="J414" i="7" s="1"/>
  <c r="K411" i="7" s="1"/>
  <c r="K414" i="7" s="1"/>
  <c r="L411" i="7" s="1"/>
  <c r="L414" i="7" s="1"/>
  <c r="M411" i="7" s="1"/>
  <c r="I408" i="7"/>
  <c r="H474" i="7"/>
  <c r="G469" i="7"/>
  <c r="G471" i="7" s="1"/>
  <c r="H468" i="7" s="1"/>
  <c r="H471" i="7" s="1"/>
  <c r="I468" i="7" s="1"/>
  <c r="I471" i="7" s="1"/>
  <c r="J468" i="7" s="1"/>
  <c r="H396" i="7"/>
  <c r="G391" i="7"/>
  <c r="G393" i="7" s="1"/>
  <c r="H390" i="7" s="1"/>
  <c r="AU392" i="7"/>
  <c r="AU387" i="7"/>
  <c r="AI83" i="7"/>
  <c r="AI408" i="7"/>
  <c r="BE178" i="7"/>
  <c r="BE583" i="7"/>
  <c r="AM701" i="7"/>
  <c r="AS546" i="7"/>
  <c r="AS541" i="7"/>
  <c r="H759" i="7"/>
  <c r="H275" i="7"/>
  <c r="H284" i="7" s="1"/>
  <c r="I76" i="7"/>
  <c r="I74" i="7"/>
  <c r="I75" i="7"/>
  <c r="R74" i="7"/>
  <c r="X216" i="7"/>
  <c r="Y387" i="7"/>
  <c r="Y465" i="7"/>
  <c r="Y130" i="7"/>
  <c r="L272" i="7"/>
  <c r="L738" i="7"/>
  <c r="H592" i="7"/>
  <c r="G587" i="7"/>
  <c r="G589" i="7" s="1"/>
  <c r="H586" i="7" s="1"/>
  <c r="H589" i="7" s="1"/>
  <c r="I586" i="7" s="1"/>
  <c r="AD491" i="7"/>
  <c r="R491" i="7"/>
  <c r="R486" i="7"/>
  <c r="AJ429" i="7"/>
  <c r="AJ84" i="7"/>
  <c r="AS434" i="7"/>
  <c r="AS429" i="7"/>
  <c r="AE84" i="7"/>
  <c r="AE429" i="7"/>
  <c r="AX429" i="7"/>
  <c r="AX84" i="7"/>
  <c r="BC512" i="7"/>
  <c r="BC507" i="7"/>
  <c r="X181" i="7"/>
  <c r="X190" i="7" s="1"/>
  <c r="X604" i="7"/>
  <c r="BD181" i="7"/>
  <c r="BD190" i="7" s="1"/>
  <c r="BD604" i="7"/>
  <c r="U604" i="7"/>
  <c r="U181" i="7"/>
  <c r="U190" i="7" s="1"/>
  <c r="BA567" i="7"/>
  <c r="AZ177" i="7"/>
  <c r="AZ562" i="7"/>
  <c r="AA567" i="7"/>
  <c r="BB661" i="7"/>
  <c r="BB226" i="7"/>
  <c r="AH229" i="7"/>
  <c r="AH238" i="7" s="1"/>
  <c r="AH682" i="7"/>
  <c r="AQ130" i="7"/>
  <c r="AU270" i="7"/>
  <c r="AU696" i="7"/>
  <c r="AQ645" i="7"/>
  <c r="AQ640" i="7"/>
  <c r="X224" i="7"/>
  <c r="AT87" i="7"/>
  <c r="AT96" i="7" s="1"/>
  <c r="AT450" i="7"/>
  <c r="L845" i="7"/>
  <c r="L846" i="7" s="1"/>
  <c r="L268" i="7" s="1"/>
  <c r="AJ845" i="7"/>
  <c r="AJ846" i="7" s="1"/>
  <c r="AJ268" i="7" s="1"/>
  <c r="AB845" i="7"/>
  <c r="AB846" i="7" s="1"/>
  <c r="AB268" i="7" s="1"/>
  <c r="AT845" i="7"/>
  <c r="AT846" i="7" s="1"/>
  <c r="AT268" i="7" s="1"/>
  <c r="AS845" i="7"/>
  <c r="AA845" i="7"/>
  <c r="AA846" i="7" s="1"/>
  <c r="AA268" i="7" s="1"/>
  <c r="U840" i="7"/>
  <c r="U844" i="7" s="1"/>
  <c r="U846" i="7" s="1"/>
  <c r="U268" i="7" s="1"/>
  <c r="S840" i="7"/>
  <c r="S844" i="7" s="1"/>
  <c r="AS840" i="7"/>
  <c r="AS844" i="7" s="1"/>
  <c r="AS846" i="7" s="1"/>
  <c r="AS268" i="7" s="1"/>
  <c r="BD840" i="7"/>
  <c r="BD844" i="7" s="1"/>
  <c r="AW840" i="7"/>
  <c r="AW844" i="7" s="1"/>
  <c r="AW846" i="7" s="1"/>
  <c r="AW268" i="7" s="1"/>
  <c r="R812" i="7"/>
  <c r="R816" i="7" s="1"/>
  <c r="Z812" i="7"/>
  <c r="Z816" i="7" s="1"/>
  <c r="Z818" i="7" s="1"/>
  <c r="Z174" i="7" s="1"/>
  <c r="X812" i="7"/>
  <c r="X816" i="7" s="1"/>
  <c r="AB812" i="7"/>
  <c r="AB816" i="7" s="1"/>
  <c r="W812" i="7"/>
  <c r="W816" i="7" s="1"/>
  <c r="AP812" i="7"/>
  <c r="AP816" i="7" s="1"/>
  <c r="M812" i="7"/>
  <c r="M816" i="7" s="1"/>
  <c r="AM812" i="7"/>
  <c r="AM816" i="7" s="1"/>
  <c r="AG812" i="7"/>
  <c r="AG816" i="7" s="1"/>
  <c r="AG818" i="7" s="1"/>
  <c r="AG174" i="7" s="1"/>
  <c r="N738" i="7"/>
  <c r="BE392" i="7"/>
  <c r="BE387" i="7"/>
  <c r="AX408" i="7"/>
  <c r="AX83" i="7"/>
  <c r="AR465" i="7"/>
  <c r="AS181" i="7"/>
  <c r="AS190" i="7" s="1"/>
  <c r="AS604" i="7"/>
  <c r="AF528" i="7"/>
  <c r="AF135" i="7"/>
  <c r="AF144" i="7" s="1"/>
  <c r="AR624" i="7"/>
  <c r="AR619" i="7"/>
  <c r="AR583" i="7"/>
  <c r="AR178" i="7"/>
  <c r="J225" i="7"/>
  <c r="J640" i="7"/>
  <c r="J491" i="7"/>
  <c r="J486" i="7"/>
  <c r="H649" i="7"/>
  <c r="H650" i="7"/>
  <c r="H228" i="7" s="1"/>
  <c r="H237" i="7" s="1"/>
  <c r="G644" i="7"/>
  <c r="G646" i="7" s="1"/>
  <c r="H643" i="7" s="1"/>
  <c r="H646" i="7" s="1"/>
  <c r="I643" i="7" s="1"/>
  <c r="I646" i="7" s="1"/>
  <c r="J643" i="7" s="1"/>
  <c r="J646" i="7" s="1"/>
  <c r="K643" i="7" s="1"/>
  <c r="K646" i="7" s="1"/>
  <c r="L643" i="7" s="1"/>
  <c r="L646" i="7" s="1"/>
  <c r="M643" i="7" s="1"/>
  <c r="M646" i="7" s="1"/>
  <c r="N643" i="7" s="1"/>
  <c r="N646" i="7" s="1"/>
  <c r="O643" i="7" s="1"/>
  <c r="O646" i="7" s="1"/>
  <c r="P643" i="7" s="1"/>
  <c r="P646" i="7" s="1"/>
  <c r="Q643" i="7" s="1"/>
  <c r="Q646" i="7" s="1"/>
  <c r="R643" i="7" s="1"/>
  <c r="R646" i="7" s="1"/>
  <c r="S643" i="7" s="1"/>
  <c r="S646" i="7" s="1"/>
  <c r="T643" i="7" s="1"/>
  <c r="T646" i="7" s="1"/>
  <c r="U643" i="7" s="1"/>
  <c r="U646" i="7" s="1"/>
  <c r="V643" i="7" s="1"/>
  <c r="V646" i="7" s="1"/>
  <c r="W643" i="7" s="1"/>
  <c r="W646" i="7" s="1"/>
  <c r="X643" i="7" s="1"/>
  <c r="X646" i="7" s="1"/>
  <c r="Y643" i="7" s="1"/>
  <c r="AQ82" i="7"/>
  <c r="AQ387" i="7"/>
  <c r="AP130" i="7"/>
  <c r="AP512" i="7"/>
  <c r="AP507" i="7"/>
  <c r="P87" i="7"/>
  <c r="P96" i="7" s="1"/>
  <c r="P450" i="7"/>
  <c r="S87" i="7"/>
  <c r="S96" i="7" s="1"/>
  <c r="S450" i="7"/>
  <c r="AO87" i="7"/>
  <c r="AO96" i="7" s="1"/>
  <c r="AO450" i="7"/>
  <c r="AR528" i="7"/>
  <c r="AR135" i="7"/>
  <c r="AR144" i="7" s="1"/>
  <c r="M528" i="7"/>
  <c r="M135" i="7"/>
  <c r="M144" i="7" s="1"/>
  <c r="AT224" i="7"/>
  <c r="Z224" i="7"/>
  <c r="Z619" i="7"/>
  <c r="AX541" i="7"/>
  <c r="AX546" i="7"/>
  <c r="Y645" i="7"/>
  <c r="Y640" i="7"/>
  <c r="W272" i="7"/>
  <c r="W738" i="7"/>
  <c r="AC271" i="7"/>
  <c r="AC717" i="7"/>
  <c r="AS271" i="7"/>
  <c r="AS717" i="7"/>
  <c r="AJ465" i="7"/>
  <c r="AR226" i="7"/>
  <c r="AR661" i="7"/>
  <c r="H640" i="7"/>
  <c r="AQ604" i="7"/>
  <c r="N528" i="7"/>
  <c r="N135" i="7"/>
  <c r="N144" i="7" s="1"/>
  <c r="L682" i="7"/>
  <c r="L229" i="7"/>
  <c r="L238" i="7" s="1"/>
  <c r="Y759" i="7"/>
  <c r="AO271" i="7"/>
  <c r="AO717" i="7"/>
  <c r="AW271" i="7"/>
  <c r="AW717" i="7"/>
  <c r="BD722" i="7"/>
  <c r="AW374" i="7"/>
  <c r="AW41" i="7"/>
  <c r="AW50" i="7" s="1"/>
  <c r="H36" i="7"/>
  <c r="G291" i="7"/>
  <c r="G292" i="7" s="1"/>
  <c r="G293" i="7" s="1"/>
  <c r="Q16" i="1" s="1"/>
  <c r="AH429" i="7"/>
  <c r="BD83" i="7"/>
  <c r="BD408" i="7"/>
  <c r="AC604" i="7"/>
  <c r="AC181" i="7"/>
  <c r="AC190" i="7" s="1"/>
  <c r="L604" i="7"/>
  <c r="L181" i="7"/>
  <c r="L190" i="7" s="1"/>
  <c r="BC275" i="7"/>
  <c r="BC759" i="7"/>
  <c r="W224" i="7"/>
  <c r="AR275" i="7"/>
  <c r="AR759" i="7"/>
  <c r="AR270" i="7"/>
  <c r="AX168" i="7"/>
  <c r="J122" i="7"/>
  <c r="M122" i="7"/>
  <c r="L788" i="7"/>
  <c r="Q135" i="7"/>
  <c r="Q144" i="7" s="1"/>
  <c r="Q528" i="7"/>
  <c r="R229" i="7"/>
  <c r="R238" i="7" s="1"/>
  <c r="R682" i="7"/>
  <c r="N229" i="7"/>
  <c r="N238" i="7" s="1"/>
  <c r="N682" i="7"/>
  <c r="AN74" i="7"/>
  <c r="AZ74" i="7"/>
  <c r="L122" i="7"/>
  <c r="O122" i="7"/>
  <c r="AW216" i="7"/>
  <c r="H261" i="7"/>
  <c r="H260" i="7" s="1"/>
  <c r="H266" i="7" s="1"/>
  <c r="H262" i="7"/>
  <c r="H263" i="7"/>
  <c r="H264" i="7"/>
  <c r="L262" i="7"/>
  <c r="AX374" i="7"/>
  <c r="AX41" i="7"/>
  <c r="AX50" i="7" s="1"/>
  <c r="AT332" i="7"/>
  <c r="AT37" i="7"/>
  <c r="AE583" i="7"/>
  <c r="AX177" i="7"/>
  <c r="AX562" i="7"/>
  <c r="AD275" i="7"/>
  <c r="AD759" i="7"/>
  <c r="AD738" i="7"/>
  <c r="AD285" i="7" s="1"/>
  <c r="W225" i="7"/>
  <c r="W640" i="7"/>
  <c r="P168" i="7"/>
  <c r="T122" i="7"/>
  <c r="AF216" i="7"/>
  <c r="K262" i="7"/>
  <c r="BA332" i="7"/>
  <c r="BA37" i="7"/>
  <c r="BE332" i="7"/>
  <c r="BE37" i="7"/>
  <c r="AW353" i="7"/>
  <c r="T38" i="7"/>
  <c r="T353" i="7"/>
  <c r="O38" i="7"/>
  <c r="O353" i="7"/>
  <c r="L74" i="7"/>
  <c r="BD36" i="7"/>
  <c r="BD311" i="7"/>
  <c r="BC311" i="7"/>
  <c r="BC36" i="7"/>
  <c r="AU353" i="7"/>
  <c r="AQ332" i="7"/>
  <c r="AQ37" i="7"/>
  <c r="AE311" i="7"/>
  <c r="AE36" i="7"/>
  <c r="AD353" i="7"/>
  <c r="AD38" i="7"/>
  <c r="O216" i="7"/>
  <c r="Y216" i="7"/>
  <c r="BE353" i="7"/>
  <c r="BD332" i="7"/>
  <c r="BD37" i="7"/>
  <c r="AU374" i="7"/>
  <c r="AU41" i="7"/>
  <c r="AU50" i="7" s="1"/>
  <c r="AS36" i="7"/>
  <c r="AK353" i="7"/>
  <c r="AK38" i="7"/>
  <c r="V38" i="7"/>
  <c r="V353" i="7"/>
  <c r="U38" i="7"/>
  <c r="U353" i="7"/>
  <c r="L38" i="7"/>
  <c r="L353" i="7"/>
  <c r="BE784" i="7"/>
  <c r="BE788" i="7" s="1"/>
  <c r="AN784" i="7"/>
  <c r="AN788" i="7" s="1"/>
  <c r="AN790" i="7" s="1"/>
  <c r="AN80" i="7" s="1"/>
  <c r="J168" i="7"/>
  <c r="AN122" i="7"/>
  <c r="I261" i="7"/>
  <c r="I260" i="7" s="1"/>
  <c r="I266" i="7" s="1"/>
  <c r="I264" i="7"/>
  <c r="O262" i="7"/>
  <c r="AA262" i="7"/>
  <c r="H216" i="7"/>
  <c r="H218" i="7"/>
  <c r="BB374" i="7"/>
  <c r="BB41" i="7"/>
  <c r="BB50" i="7" s="1"/>
  <c r="BA353" i="7"/>
  <c r="AZ332" i="7"/>
  <c r="AZ37" i="7"/>
  <c r="AV316" i="7"/>
  <c r="AV311" i="7"/>
  <c r="AP36" i="7"/>
  <c r="H37" i="7"/>
  <c r="H332" i="7"/>
  <c r="BD353" i="7"/>
  <c r="BC41" i="7"/>
  <c r="BC50" i="7" s="1"/>
  <c r="AZ353" i="7"/>
  <c r="AY41" i="7"/>
  <c r="AY50" i="7" s="1"/>
  <c r="AV374" i="7"/>
  <c r="AV41" i="7"/>
  <c r="AV50" i="7" s="1"/>
  <c r="AT36" i="7"/>
  <c r="AP332" i="7"/>
  <c r="AP37" i="7"/>
  <c r="AO311" i="7"/>
  <c r="AN374" i="7"/>
  <c r="AN41" i="7"/>
  <c r="AN50" i="7" s="1"/>
  <c r="AH353" i="7"/>
  <c r="W38" i="7"/>
  <c r="W353" i="7"/>
  <c r="AF775" i="7"/>
  <c r="AL775" i="7"/>
  <c r="H775" i="7"/>
  <c r="AC775" i="7"/>
  <c r="AD775" i="7"/>
  <c r="AD776" i="7" s="1"/>
  <c r="AD34" i="7" s="1"/>
  <c r="I775" i="7"/>
  <c r="P775" i="7"/>
  <c r="Q775" i="7"/>
  <c r="X775" i="7"/>
  <c r="Y775" i="7"/>
  <c r="AG775" i="7"/>
  <c r="AI775" i="7"/>
  <c r="AJ775" i="7"/>
  <c r="AM775" i="7"/>
  <c r="AO775" i="7"/>
  <c r="AO776" i="7" s="1"/>
  <c r="AO34" i="7" s="1"/>
  <c r="AS775" i="7"/>
  <c r="AS776" i="7" s="1"/>
  <c r="AS34" i="7" s="1"/>
  <c r="J775" i="7"/>
  <c r="K775" i="7"/>
  <c r="R775" i="7"/>
  <c r="S775" i="7"/>
  <c r="Z775" i="7"/>
  <c r="AA775" i="7"/>
  <c r="AB775" i="7"/>
  <c r="AE775" i="7"/>
  <c r="AH775" i="7"/>
  <c r="AH776" i="7" s="1"/>
  <c r="AH34" i="7" s="1"/>
  <c r="AP775" i="7"/>
  <c r="AT775" i="7"/>
  <c r="AE774" i="7"/>
  <c r="AE776" i="7" s="1"/>
  <c r="AE34" i="7" s="1"/>
  <c r="AB774" i="7"/>
  <c r="AG774" i="7"/>
  <c r="AH774" i="7"/>
  <c r="AL774" i="7"/>
  <c r="AP774" i="7"/>
  <c r="AT774" i="7"/>
  <c r="AF774" i="7"/>
  <c r="AK774" i="7"/>
  <c r="AK776" i="7" s="1"/>
  <c r="AK34" i="7" s="1"/>
  <c r="AQ774" i="7"/>
  <c r="I27" i="7"/>
  <c r="I26" i="7" s="1"/>
  <c r="I32" i="7" s="1"/>
  <c r="I47" i="7" s="1"/>
  <c r="I30" i="7"/>
  <c r="AC38" i="7"/>
  <c r="AC353" i="7"/>
  <c r="N38" i="7"/>
  <c r="N353" i="7"/>
  <c r="M38" i="7"/>
  <c r="M353" i="7"/>
  <c r="G197" i="7"/>
  <c r="AT353" i="7"/>
  <c r="AP353" i="7"/>
  <c r="AG353" i="7"/>
  <c r="W332" i="7"/>
  <c r="W37" i="7"/>
  <c r="AS353" i="7"/>
  <c r="AO353" i="7"/>
  <c r="AI353" i="7"/>
  <c r="AE353" i="7"/>
  <c r="AA332" i="7"/>
  <c r="Z332" i="7"/>
  <c r="Y332" i="7"/>
  <c r="X332" i="7"/>
  <c r="U332" i="7"/>
  <c r="T332" i="7"/>
  <c r="S332" i="7"/>
  <c r="R332" i="7"/>
  <c r="Q332" i="7"/>
  <c r="P332" i="7"/>
  <c r="O332" i="7"/>
  <c r="L332" i="7"/>
  <c r="K332" i="7"/>
  <c r="J332" i="7"/>
  <c r="I332" i="7"/>
  <c r="H40" i="7"/>
  <c r="H49" i="7" s="1"/>
  <c r="AB353" i="7"/>
  <c r="BD50" i="7"/>
  <c r="AR50" i="7"/>
  <c r="AI332" i="7"/>
  <c r="AI37" i="7"/>
  <c r="N332" i="7"/>
  <c r="N337" i="7"/>
  <c r="M332" i="7"/>
  <c r="M337" i="7"/>
  <c r="AQ50" i="7"/>
  <c r="AJ353" i="7"/>
  <c r="AJ358" i="7"/>
  <c r="H362" i="7"/>
  <c r="H39" i="7" s="1"/>
  <c r="H48" i="7" s="1"/>
  <c r="G357" i="7"/>
  <c r="G359" i="7" s="1"/>
  <c r="H356" i="7" s="1"/>
  <c r="H359" i="7" s="1"/>
  <c r="I356" i="7" s="1"/>
  <c r="I359" i="7" s="1"/>
  <c r="J356" i="7" s="1"/>
  <c r="J359" i="7" s="1"/>
  <c r="K356" i="7" s="1"/>
  <c r="K359" i="7" s="1"/>
  <c r="L356" i="7" s="1"/>
  <c r="L359" i="7" s="1"/>
  <c r="M356" i="7" s="1"/>
  <c r="M359" i="7" s="1"/>
  <c r="N356" i="7" s="1"/>
  <c r="N359" i="7" s="1"/>
  <c r="O356" i="7" s="1"/>
  <c r="O359" i="7" s="1"/>
  <c r="P356" i="7" s="1"/>
  <c r="P359" i="7" s="1"/>
  <c r="Q356" i="7" s="1"/>
  <c r="Q359" i="7" s="1"/>
  <c r="R356" i="7" s="1"/>
  <c r="R359" i="7" s="1"/>
  <c r="S356" i="7" s="1"/>
  <c r="S359" i="7" s="1"/>
  <c r="T356" i="7" s="1"/>
  <c r="T359" i="7" s="1"/>
  <c r="U356" i="7" s="1"/>
  <c r="U359" i="7" s="1"/>
  <c r="V356" i="7" s="1"/>
  <c r="V359" i="7" s="1"/>
  <c r="W356" i="7" s="1"/>
  <c r="W359" i="7" s="1"/>
  <c r="X356" i="7" s="1"/>
  <c r="X359" i="7" s="1"/>
  <c r="Y356" i="7" s="1"/>
  <c r="Y359" i="7" s="1"/>
  <c r="Z356" i="7" s="1"/>
  <c r="Z359" i="7" s="1"/>
  <c r="AA356" i="7" s="1"/>
  <c r="AA359" i="7" s="1"/>
  <c r="AB356" i="7" s="1"/>
  <c r="AB359" i="7" s="1"/>
  <c r="AC356" i="7" s="1"/>
  <c r="AC359" i="7" s="1"/>
  <c r="AD356" i="7" s="1"/>
  <c r="AD359" i="7" s="1"/>
  <c r="AE356" i="7" s="1"/>
  <c r="AE359" i="7" s="1"/>
  <c r="AF356" i="7" s="1"/>
  <c r="AF359" i="7" s="1"/>
  <c r="AG356" i="7" s="1"/>
  <c r="AG359" i="7" s="1"/>
  <c r="AH356" i="7" s="1"/>
  <c r="AH359" i="7" s="1"/>
  <c r="AI356" i="7" s="1"/>
  <c r="AI359" i="7" s="1"/>
  <c r="AJ356" i="7" s="1"/>
  <c r="AJ359" i="7" s="1"/>
  <c r="AK356" i="7" s="1"/>
  <c r="AK359" i="7" s="1"/>
  <c r="AL356" i="7" s="1"/>
  <c r="AL359" i="7" s="1"/>
  <c r="AM356" i="7" s="1"/>
  <c r="AM359" i="7" s="1"/>
  <c r="AN356" i="7" s="1"/>
  <c r="AN359" i="7" s="1"/>
  <c r="AO356" i="7" s="1"/>
  <c r="AO359" i="7" s="1"/>
  <c r="AP356" i="7" s="1"/>
  <c r="AP359" i="7" s="1"/>
  <c r="AQ356" i="7" s="1"/>
  <c r="AQ359" i="7" s="1"/>
  <c r="AR356" i="7" s="1"/>
  <c r="AR359" i="7" s="1"/>
  <c r="AS356" i="7" s="1"/>
  <c r="AS359" i="7" s="1"/>
  <c r="AT356" i="7" s="1"/>
  <c r="AT359" i="7" s="1"/>
  <c r="AU356" i="7" s="1"/>
  <c r="AU359" i="7" s="1"/>
  <c r="AV356" i="7" s="1"/>
  <c r="AV359" i="7" s="1"/>
  <c r="AW356" i="7" s="1"/>
  <c r="AW359" i="7" s="1"/>
  <c r="AX356" i="7" s="1"/>
  <c r="AX359" i="7" s="1"/>
  <c r="AY356" i="7" s="1"/>
  <c r="AY359" i="7" s="1"/>
  <c r="AZ356" i="7" s="1"/>
  <c r="AZ359" i="7" s="1"/>
  <c r="BA356" i="7" s="1"/>
  <c r="BA359" i="7" s="1"/>
  <c r="BB356" i="7" s="1"/>
  <c r="BB359" i="7" s="1"/>
  <c r="BC356" i="7" s="1"/>
  <c r="BC359" i="7" s="1"/>
  <c r="BD356" i="7" s="1"/>
  <c r="BD359" i="7" s="1"/>
  <c r="BE356" i="7" s="1"/>
  <c r="BE359" i="7" s="1"/>
  <c r="AP50" i="7"/>
  <c r="AM41" i="7"/>
  <c r="AM50" i="7" s="1"/>
  <c r="AM374" i="7"/>
  <c r="BE50" i="7"/>
  <c r="BA50" i="7"/>
  <c r="AS50" i="7"/>
  <c r="AO50" i="7"/>
  <c r="AM332" i="7"/>
  <c r="AM37" i="7"/>
  <c r="AI41" i="7"/>
  <c r="AI50" i="7" s="1"/>
  <c r="AI374" i="7"/>
  <c r="V332" i="7"/>
  <c r="V337" i="7"/>
  <c r="AC311" i="7"/>
  <c r="AC36" i="7"/>
  <c r="Y36" i="7"/>
  <c r="Y311" i="7"/>
  <c r="X36" i="7"/>
  <c r="X311" i="7"/>
  <c r="Q36" i="7"/>
  <c r="Q311" i="7"/>
  <c r="I36" i="7"/>
  <c r="I311" i="7"/>
  <c r="BE38" i="7"/>
  <c r="BD38" i="7"/>
  <c r="BC38" i="7"/>
  <c r="BB38" i="7"/>
  <c r="BA38" i="7"/>
  <c r="AZ38" i="7"/>
  <c r="AY38" i="7"/>
  <c r="AX38" i="7"/>
  <c r="AW38" i="7"/>
  <c r="AV38" i="7"/>
  <c r="AU38" i="7"/>
  <c r="AT38" i="7"/>
  <c r="AS38" i="7"/>
  <c r="AR38" i="7"/>
  <c r="AQ38" i="7"/>
  <c r="AP38" i="7"/>
  <c r="AO38" i="7"/>
  <c r="AN38" i="7"/>
  <c r="AJ332" i="7"/>
  <c r="AG311" i="7"/>
  <c r="AG36" i="7"/>
  <c r="AE332" i="7"/>
  <c r="AE37" i="7"/>
  <c r="AD332" i="7"/>
  <c r="AB311" i="7"/>
  <c r="AB36" i="7"/>
  <c r="U36" i="7"/>
  <c r="U311" i="7"/>
  <c r="T36" i="7"/>
  <c r="T311" i="7"/>
  <c r="L36" i="7"/>
  <c r="L311" i="7"/>
  <c r="AL332" i="7"/>
  <c r="AH332" i="7"/>
  <c r="AF311" i="7"/>
  <c r="AF36" i="7"/>
  <c r="P36" i="7"/>
  <c r="P311" i="7"/>
  <c r="G315" i="7"/>
  <c r="G317" i="7" s="1"/>
  <c r="H314" i="7" s="1"/>
  <c r="H317" i="7" s="1"/>
  <c r="I314" i="7" s="1"/>
  <c r="I317" i="7" s="1"/>
  <c r="J314" i="7" s="1"/>
  <c r="J317" i="7" s="1"/>
  <c r="K314" i="7" s="1"/>
  <c r="K317" i="7" s="1"/>
  <c r="L314" i="7" s="1"/>
  <c r="L317" i="7" s="1"/>
  <c r="M314" i="7" s="1"/>
  <c r="M317" i="7" s="1"/>
  <c r="N314" i="7" s="1"/>
  <c r="N317" i="7" s="1"/>
  <c r="O314" i="7" s="1"/>
  <c r="O317" i="7" s="1"/>
  <c r="P314" i="7" s="1"/>
  <c r="P317" i="7" s="1"/>
  <c r="Q314" i="7" s="1"/>
  <c r="Q317" i="7" s="1"/>
  <c r="R314" i="7" s="1"/>
  <c r="R317" i="7" s="1"/>
  <c r="S314" i="7" s="1"/>
  <c r="S317" i="7" s="1"/>
  <c r="T314" i="7" s="1"/>
  <c r="T317" i="7" s="1"/>
  <c r="U314" i="7" s="1"/>
  <c r="U317" i="7" s="1"/>
  <c r="V314" i="7" s="1"/>
  <c r="V317" i="7" s="1"/>
  <c r="W314" i="7" s="1"/>
  <c r="W317" i="7" s="1"/>
  <c r="X314" i="7" s="1"/>
  <c r="X317" i="7" s="1"/>
  <c r="Y314" i="7" s="1"/>
  <c r="Y317" i="7" s="1"/>
  <c r="Z314" i="7" s="1"/>
  <c r="Z317" i="7" s="1"/>
  <c r="AA314" i="7" s="1"/>
  <c r="AA317" i="7" s="1"/>
  <c r="AB314" i="7" s="1"/>
  <c r="AB317" i="7" s="1"/>
  <c r="AC314" i="7" s="1"/>
  <c r="AC317" i="7" s="1"/>
  <c r="AD314" i="7" s="1"/>
  <c r="AD317" i="7" s="1"/>
  <c r="AE314" i="7" s="1"/>
  <c r="AE317" i="7" s="1"/>
  <c r="AF314" i="7" s="1"/>
  <c r="AF317" i="7" s="1"/>
  <c r="AG314" i="7" s="1"/>
  <c r="AG317" i="7" s="1"/>
  <c r="AH314" i="7" s="1"/>
  <c r="AH317" i="7" s="1"/>
  <c r="AI314" i="7" s="1"/>
  <c r="AI317" i="7" s="1"/>
  <c r="AJ314" i="7" s="1"/>
  <c r="AJ317" i="7" s="1"/>
  <c r="AK314" i="7" s="1"/>
  <c r="AK317" i="7" s="1"/>
  <c r="AL314" i="7" s="1"/>
  <c r="AL317" i="7" s="1"/>
  <c r="AM314" i="7" s="1"/>
  <c r="AM317" i="7" s="1"/>
  <c r="AN314" i="7" s="1"/>
  <c r="AN317" i="7" s="1"/>
  <c r="AO314" i="7" s="1"/>
  <c r="AO317" i="7" s="1"/>
  <c r="AP314" i="7" s="1"/>
  <c r="AP317" i="7" s="1"/>
  <c r="AQ314" i="7" s="1"/>
  <c r="AQ317" i="7" s="1"/>
  <c r="AR314" i="7" s="1"/>
  <c r="AR317" i="7" s="1"/>
  <c r="AS314" i="7" s="1"/>
  <c r="AS317" i="7" s="1"/>
  <c r="AT314" i="7" s="1"/>
  <c r="AT317" i="7" s="1"/>
  <c r="AU314" i="7" s="1"/>
  <c r="AU317" i="7" s="1"/>
  <c r="AV314" i="7" s="1"/>
  <c r="AL374" i="7"/>
  <c r="AK332" i="7"/>
  <c r="AM311" i="7"/>
  <c r="AL311" i="7"/>
  <c r="AI311" i="7"/>
  <c r="AH311" i="7"/>
  <c r="AF332" i="7"/>
  <c r="AB332" i="7"/>
  <c r="Z36" i="7"/>
  <c r="Z311" i="7"/>
  <c r="V36" i="7"/>
  <c r="V311" i="7"/>
  <c r="R36" i="7"/>
  <c r="R311" i="7"/>
  <c r="N36" i="7"/>
  <c r="N311" i="7"/>
  <c r="J36" i="7"/>
  <c r="J311" i="7"/>
  <c r="I774" i="7"/>
  <c r="J774" i="7"/>
  <c r="L774" i="7"/>
  <c r="L776" i="7" s="1"/>
  <c r="L34" i="7" s="1"/>
  <c r="M774" i="7"/>
  <c r="M776" i="7" s="1"/>
  <c r="M34" i="7" s="1"/>
  <c r="N774" i="7"/>
  <c r="N776" i="7" s="1"/>
  <c r="N34" i="7" s="1"/>
  <c r="O774" i="7"/>
  <c r="P774" i="7"/>
  <c r="Q774" i="7"/>
  <c r="R774" i="7"/>
  <c r="T774" i="7"/>
  <c r="U774" i="7"/>
  <c r="U776" i="7" s="1"/>
  <c r="U34" i="7" s="1"/>
  <c r="W774" i="7"/>
  <c r="W776" i="7" s="1"/>
  <c r="W34" i="7" s="1"/>
  <c r="X774" i="7"/>
  <c r="Y774" i="7"/>
  <c r="AA774" i="7"/>
  <c r="H774" i="7"/>
  <c r="AG332" i="7"/>
  <c r="AC332" i="7"/>
  <c r="AA36" i="7"/>
  <c r="AA311" i="7"/>
  <c r="W36" i="7"/>
  <c r="W311" i="7"/>
  <c r="S36" i="7"/>
  <c r="S311" i="7"/>
  <c r="O36" i="7"/>
  <c r="O311" i="7"/>
  <c r="K36" i="7"/>
  <c r="K311" i="7"/>
  <c r="H353" i="7"/>
  <c r="H41" i="7"/>
  <c r="H50" i="7" s="1"/>
  <c r="U379" i="17" l="1"/>
  <c r="U116" i="17" s="1"/>
  <c r="U158" i="17" s="1"/>
  <c r="U181" i="17" s="1"/>
  <c r="Z379" i="17"/>
  <c r="Z116" i="17" s="1"/>
  <c r="Z158" i="17" s="1"/>
  <c r="Z181" i="17" s="1"/>
  <c r="AJ776" i="7"/>
  <c r="AJ34" i="7" s="1"/>
  <c r="AB285" i="7"/>
  <c r="AC804" i="7"/>
  <c r="AC128" i="7" s="1"/>
  <c r="Q568" i="7"/>
  <c r="R565" i="7" s="1"/>
  <c r="R568" i="7" s="1"/>
  <c r="S565" i="7" s="1"/>
  <c r="N228" i="4"/>
  <c r="N234" i="4" s="1"/>
  <c r="X228" i="4"/>
  <c r="X234" i="4" s="1"/>
  <c r="Y228" i="4"/>
  <c r="Y234" i="4" s="1"/>
  <c r="U228" i="4"/>
  <c r="U234" i="4" s="1"/>
  <c r="I228" i="4"/>
  <c r="I234" i="4" s="1"/>
  <c r="J228" i="4"/>
  <c r="J234" i="4" s="1"/>
  <c r="L227" i="4"/>
  <c r="P227" i="4"/>
  <c r="P29" i="4" s="1"/>
  <c r="P73" i="4" s="1"/>
  <c r="S227" i="4"/>
  <c r="S29" i="4" s="1"/>
  <c r="S73" i="4" s="1"/>
  <c r="G233" i="4"/>
  <c r="G235" i="4" s="1"/>
  <c r="H232" i="4" s="1"/>
  <c r="BD135" i="7"/>
  <c r="BD144" i="7" s="1"/>
  <c r="BD528" i="7"/>
  <c r="AD82" i="7"/>
  <c r="AD387" i="7"/>
  <c r="AD97" i="7" s="1"/>
  <c r="L224" i="7"/>
  <c r="L619" i="7"/>
  <c r="O776" i="7"/>
  <c r="O34" i="7" s="1"/>
  <c r="M311" i="7"/>
  <c r="M51" i="7" s="1"/>
  <c r="AP311" i="7"/>
  <c r="H311" i="7"/>
  <c r="AT619" i="7"/>
  <c r="AT239" i="7" s="1"/>
  <c r="J471" i="7"/>
  <c r="K468" i="7" s="1"/>
  <c r="K471" i="7" s="1"/>
  <c r="L468" i="7" s="1"/>
  <c r="L471" i="7" s="1"/>
  <c r="M468" i="7" s="1"/>
  <c r="M471" i="7" s="1"/>
  <c r="N468" i="7" s="1"/>
  <c r="N471" i="7" s="1"/>
  <c r="O468" i="7" s="1"/>
  <c r="O471" i="7" s="1"/>
  <c r="P468" i="7" s="1"/>
  <c r="P471" i="7" s="1"/>
  <c r="Q468" i="7" s="1"/>
  <c r="Q471" i="7" s="1"/>
  <c r="R468" i="7" s="1"/>
  <c r="R471" i="7" s="1"/>
  <c r="S468" i="7" s="1"/>
  <c r="S471" i="7" s="1"/>
  <c r="T468" i="7" s="1"/>
  <c r="T471" i="7" s="1"/>
  <c r="U468" i="7" s="1"/>
  <c r="U471" i="7" s="1"/>
  <c r="V468" i="7" s="1"/>
  <c r="V471" i="7" s="1"/>
  <c r="W468" i="7" s="1"/>
  <c r="W471" i="7" s="1"/>
  <c r="X468" i="7" s="1"/>
  <c r="X471" i="7" s="1"/>
  <c r="Y468" i="7" s="1"/>
  <c r="Y471" i="7" s="1"/>
  <c r="Z468" i="7" s="1"/>
  <c r="Z471" i="7" s="1"/>
  <c r="AA468" i="7" s="1"/>
  <c r="AA471" i="7" s="1"/>
  <c r="AB468" i="7" s="1"/>
  <c r="AB471" i="7" s="1"/>
  <c r="AC468" i="7" s="1"/>
  <c r="AC471" i="7" s="1"/>
  <c r="AD468" i="7" s="1"/>
  <c r="AD471" i="7" s="1"/>
  <c r="AE468" i="7" s="1"/>
  <c r="AE471" i="7" s="1"/>
  <c r="AF468" i="7" s="1"/>
  <c r="AF471" i="7" s="1"/>
  <c r="AG468" i="7" s="1"/>
  <c r="AG471" i="7" s="1"/>
  <c r="AH468" i="7" s="1"/>
  <c r="AH471" i="7" s="1"/>
  <c r="AI468" i="7" s="1"/>
  <c r="AI471" i="7" s="1"/>
  <c r="AJ468" i="7" s="1"/>
  <c r="AJ471" i="7" s="1"/>
  <c r="AK468" i="7" s="1"/>
  <c r="AK471" i="7" s="1"/>
  <c r="AL468" i="7" s="1"/>
  <c r="AL471" i="7" s="1"/>
  <c r="AM468" i="7" s="1"/>
  <c r="AM471" i="7" s="1"/>
  <c r="AN468" i="7" s="1"/>
  <c r="AN471" i="7" s="1"/>
  <c r="AO468" i="7" s="1"/>
  <c r="AO471" i="7" s="1"/>
  <c r="AP468" i="7" s="1"/>
  <c r="AP471" i="7" s="1"/>
  <c r="AQ468" i="7" s="1"/>
  <c r="AQ471" i="7" s="1"/>
  <c r="AR468" i="7" s="1"/>
  <c r="AR471" i="7" s="1"/>
  <c r="AS468" i="7" s="1"/>
  <c r="AS471" i="7" s="1"/>
  <c r="AT468" i="7" s="1"/>
  <c r="AT471" i="7" s="1"/>
  <c r="AU468" i="7" s="1"/>
  <c r="AU471" i="7" s="1"/>
  <c r="AV468" i="7" s="1"/>
  <c r="AV471" i="7" s="1"/>
  <c r="AW468" i="7" s="1"/>
  <c r="AW471" i="7" s="1"/>
  <c r="AX468" i="7" s="1"/>
  <c r="AX471" i="7" s="1"/>
  <c r="AY468" i="7" s="1"/>
  <c r="AY471" i="7" s="1"/>
  <c r="AZ468" i="7" s="1"/>
  <c r="AZ471" i="7" s="1"/>
  <c r="BA468" i="7" s="1"/>
  <c r="BA471" i="7" s="1"/>
  <c r="BB468" i="7" s="1"/>
  <c r="BB471" i="7" s="1"/>
  <c r="BC468" i="7" s="1"/>
  <c r="BC471" i="7" s="1"/>
  <c r="BD468" i="7" s="1"/>
  <c r="BD471" i="7" s="1"/>
  <c r="BE468" i="7" s="1"/>
  <c r="BE471" i="7" s="1"/>
  <c r="AW832" i="7"/>
  <c r="AW222" i="7" s="1"/>
  <c r="AX507" i="7"/>
  <c r="AA239" i="7"/>
  <c r="AA507" i="7"/>
  <c r="P696" i="7"/>
  <c r="S387" i="7"/>
  <c r="AB507" i="7"/>
  <c r="AB145" i="7" s="1"/>
  <c r="Z131" i="7"/>
  <c r="N507" i="7"/>
  <c r="AZ97" i="7"/>
  <c r="X429" i="7"/>
  <c r="AP619" i="7"/>
  <c r="AP239" i="7" s="1"/>
  <c r="AC696" i="7"/>
  <c r="AC285" i="7" s="1"/>
  <c r="BC696" i="7"/>
  <c r="Y285" i="7"/>
  <c r="AK738" i="7"/>
  <c r="BB285" i="7"/>
  <c r="N696" i="7"/>
  <c r="N285" i="7" s="1"/>
  <c r="AU738" i="7"/>
  <c r="AW738" i="7"/>
  <c r="AJ743" i="7"/>
  <c r="V738" i="7"/>
  <c r="H228" i="4"/>
  <c r="T227" i="4"/>
  <c r="T229" i="4" s="1"/>
  <c r="K227" i="4"/>
  <c r="K29" i="4" s="1"/>
  <c r="W228" i="4"/>
  <c r="Z325" i="4"/>
  <c r="Z331" i="4" s="1"/>
  <c r="V325" i="4"/>
  <c r="V331" i="4" s="1"/>
  <c r="Z324" i="4"/>
  <c r="Z120" i="4" s="1"/>
  <c r="Z164" i="4" s="1"/>
  <c r="V324" i="4"/>
  <c r="Z365" i="4"/>
  <c r="Z26" i="4" s="1"/>
  <c r="Z68" i="4" s="1"/>
  <c r="Z91" i="4" s="1"/>
  <c r="X379" i="17"/>
  <c r="X116" i="17" s="1"/>
  <c r="X158" i="17" s="1"/>
  <c r="X181" i="17" s="1"/>
  <c r="I365" i="4"/>
  <c r="I26" i="4" s="1"/>
  <c r="I68" i="4" s="1"/>
  <c r="I91" i="4" s="1"/>
  <c r="BB738" i="7"/>
  <c r="AF486" i="7"/>
  <c r="S832" i="7"/>
  <c r="S222" i="7" s="1"/>
  <c r="AB790" i="7"/>
  <c r="AB80" i="7" s="1"/>
  <c r="AN387" i="7"/>
  <c r="AV619" i="7"/>
  <c r="BE619" i="7"/>
  <c r="BE239" i="7" s="1"/>
  <c r="D72" i="1"/>
  <c r="D76" i="1"/>
  <c r="D157" i="1"/>
  <c r="C124" i="1"/>
  <c r="D143" i="1"/>
  <c r="N41" i="18"/>
  <c r="T93" i="8"/>
  <c r="Q567" i="7"/>
  <c r="Q562" i="7"/>
  <c r="Q191" i="7" s="1"/>
  <c r="H335" i="17"/>
  <c r="N325" i="17"/>
  <c r="N331" i="17" s="1"/>
  <c r="R325" i="17"/>
  <c r="R331" i="17" s="1"/>
  <c r="X324" i="17"/>
  <c r="X120" i="17" s="1"/>
  <c r="X164" i="17" s="1"/>
  <c r="Z325" i="17"/>
  <c r="Z331" i="17" s="1"/>
  <c r="J324" i="17"/>
  <c r="J120" i="17" s="1"/>
  <c r="P324" i="17"/>
  <c r="P120" i="17" s="1"/>
  <c r="P164" i="17" s="1"/>
  <c r="Y325" i="17"/>
  <c r="Y331" i="17" s="1"/>
  <c r="AA325" i="17"/>
  <c r="AA331" i="17" s="1"/>
  <c r="M324" i="17"/>
  <c r="M120" i="17" s="1"/>
  <c r="M164" i="17" s="1"/>
  <c r="H324" i="17"/>
  <c r="H120" i="17" s="1"/>
  <c r="AY82" i="7"/>
  <c r="AY387" i="7"/>
  <c r="AW224" i="7"/>
  <c r="AW619" i="7"/>
  <c r="AW239" i="7" s="1"/>
  <c r="AO224" i="7"/>
  <c r="AO619" i="7"/>
  <c r="AO239" i="7" s="1"/>
  <c r="AJ311" i="7"/>
  <c r="AS311" i="7"/>
  <c r="J76" i="7"/>
  <c r="AZ311" i="7"/>
  <c r="J121" i="7"/>
  <c r="J120" i="7" s="1"/>
  <c r="J126" i="7" s="1"/>
  <c r="AR696" i="7"/>
  <c r="W619" i="7"/>
  <c r="W239" i="7" s="1"/>
  <c r="AP465" i="7"/>
  <c r="AL270" i="7"/>
  <c r="AC387" i="7"/>
  <c r="AC97" i="7" s="1"/>
  <c r="AQ465" i="7"/>
  <c r="BB239" i="7"/>
  <c r="AM696" i="7"/>
  <c r="AS528" i="7"/>
  <c r="P486" i="7"/>
  <c r="O832" i="7"/>
  <c r="O222" i="7" s="1"/>
  <c r="AR486" i="7"/>
  <c r="AR145" i="7" s="1"/>
  <c r="AP562" i="7"/>
  <c r="AP191" i="7" s="1"/>
  <c r="W387" i="7"/>
  <c r="U818" i="7"/>
  <c r="U174" i="7" s="1"/>
  <c r="AJ818" i="7"/>
  <c r="AJ174" i="7" s="1"/>
  <c r="AV818" i="7"/>
  <c r="AV174" i="7" s="1"/>
  <c r="AT818" i="7"/>
  <c r="AT174" i="7" s="1"/>
  <c r="U562" i="7"/>
  <c r="J429" i="7"/>
  <c r="N224" i="7"/>
  <c r="BA486" i="7"/>
  <c r="BA145" i="7" s="1"/>
  <c r="AM465" i="7"/>
  <c r="AM145" i="7" s="1"/>
  <c r="AC486" i="7"/>
  <c r="AI507" i="7"/>
  <c r="AN507" i="7"/>
  <c r="Q804" i="7"/>
  <c r="Q128" i="7" s="1"/>
  <c r="L470" i="7"/>
  <c r="AO465" i="7"/>
  <c r="AO145" i="7" s="1"/>
  <c r="U131" i="7"/>
  <c r="T507" i="7"/>
  <c r="AW465" i="7"/>
  <c r="AQ486" i="7"/>
  <c r="AQ145" i="7" s="1"/>
  <c r="AG547" i="7"/>
  <c r="AH544" i="7" s="1"/>
  <c r="AH547" i="7" s="1"/>
  <c r="AI544" i="7" s="1"/>
  <c r="AI547" i="7" s="1"/>
  <c r="AJ544" i="7" s="1"/>
  <c r="AJ547" i="7" s="1"/>
  <c r="AK544" i="7" s="1"/>
  <c r="AK547" i="7" s="1"/>
  <c r="AL544" i="7" s="1"/>
  <c r="AL547" i="7" s="1"/>
  <c r="AM544" i="7" s="1"/>
  <c r="AM547" i="7" s="1"/>
  <c r="AN544" i="7" s="1"/>
  <c r="AN547" i="7" s="1"/>
  <c r="AO544" i="7" s="1"/>
  <c r="AO547" i="7" s="1"/>
  <c r="AP544" i="7" s="1"/>
  <c r="AP547" i="7" s="1"/>
  <c r="AQ544" i="7" s="1"/>
  <c r="AQ547" i="7" s="1"/>
  <c r="AR544" i="7" s="1"/>
  <c r="AR547" i="7" s="1"/>
  <c r="AS544" i="7" s="1"/>
  <c r="AT562" i="7"/>
  <c r="AT191" i="7" s="1"/>
  <c r="AE387" i="7"/>
  <c r="AE97" i="7" s="1"/>
  <c r="AP387" i="7"/>
  <c r="BB97" i="7"/>
  <c r="J387" i="7"/>
  <c r="J97" i="7" s="1"/>
  <c r="BD486" i="7"/>
  <c r="BD145" i="7" s="1"/>
  <c r="AK465" i="7"/>
  <c r="W507" i="7"/>
  <c r="AJ507" i="7"/>
  <c r="BE465" i="7"/>
  <c r="BE145" i="7" s="1"/>
  <c r="P619" i="7"/>
  <c r="T239" i="7"/>
  <c r="AC619" i="7"/>
  <c r="AY696" i="7"/>
  <c r="AJ285" i="7"/>
  <c r="AF738" i="7"/>
  <c r="AF285" i="7" s="1"/>
  <c r="AT738" i="7"/>
  <c r="Z738" i="7"/>
  <c r="AM738" i="7"/>
  <c r="M228" i="4"/>
  <c r="M234" i="4" s="1"/>
  <c r="V208" i="4"/>
  <c r="Q228" i="4"/>
  <c r="Q234" i="4" s="1"/>
  <c r="Y227" i="4"/>
  <c r="Y229" i="4" s="1"/>
  <c r="I227" i="4"/>
  <c r="V227" i="4"/>
  <c r="N227" i="4"/>
  <c r="H238" i="4"/>
  <c r="H31" i="4" s="1"/>
  <c r="H39" i="4" s="1"/>
  <c r="P77" i="17"/>
  <c r="Y325" i="4"/>
  <c r="U325" i="4"/>
  <c r="U331" i="4" s="1"/>
  <c r="Y324" i="4"/>
  <c r="Y120" i="4" s="1"/>
  <c r="Y164" i="4" s="1"/>
  <c r="U324" i="4"/>
  <c r="U120" i="4" s="1"/>
  <c r="U164" i="4" s="1"/>
  <c r="J166" i="4"/>
  <c r="K347" i="17"/>
  <c r="D142" i="1"/>
  <c r="W365" i="4"/>
  <c r="W26" i="4" s="1"/>
  <c r="W68" i="4" s="1"/>
  <c r="W91" i="4" s="1"/>
  <c r="Q365" i="17"/>
  <c r="Q26" i="17" s="1"/>
  <c r="Q68" i="17" s="1"/>
  <c r="Q91" i="17" s="1"/>
  <c r="S379" i="17"/>
  <c r="S116" i="17" s="1"/>
  <c r="S158" i="17" s="1"/>
  <c r="S181" i="17" s="1"/>
  <c r="AA365" i="17"/>
  <c r="AA26" i="17" s="1"/>
  <c r="AA68" i="17" s="1"/>
  <c r="AA91" i="17" s="1"/>
  <c r="X365" i="4"/>
  <c r="X26" i="4" s="1"/>
  <c r="X68" i="4" s="1"/>
  <c r="X91" i="4" s="1"/>
  <c r="P365" i="4"/>
  <c r="P26" i="4" s="1"/>
  <c r="P68" i="4" s="1"/>
  <c r="P91" i="4" s="1"/>
  <c r="O283" i="17"/>
  <c r="O289" i="17" s="1"/>
  <c r="Z282" i="17"/>
  <c r="Z118" i="17" s="1"/>
  <c r="Z162" i="17" s="1"/>
  <c r="R282" i="17"/>
  <c r="R284" i="17" s="1"/>
  <c r="L282" i="17"/>
  <c r="L118" i="17" s="1"/>
  <c r="L162" i="17" s="1"/>
  <c r="U283" i="17"/>
  <c r="U289" i="17" s="1"/>
  <c r="L283" i="17"/>
  <c r="L284" i="17" s="1"/>
  <c r="Y283" i="17"/>
  <c r="Y289" i="17" s="1"/>
  <c r="R283" i="17"/>
  <c r="R289" i="17" s="1"/>
  <c r="K283" i="17"/>
  <c r="K289" i="17" s="1"/>
  <c r="J365" i="17"/>
  <c r="J26" i="17" s="1"/>
  <c r="J68" i="17" s="1"/>
  <c r="J91" i="17" s="1"/>
  <c r="Y40" i="17"/>
  <c r="Q229" i="17"/>
  <c r="V177" i="8"/>
  <c r="L324" i="17"/>
  <c r="L120" i="17" s="1"/>
  <c r="L164" i="17" s="1"/>
  <c r="U324" i="17"/>
  <c r="U120" i="17" s="1"/>
  <c r="O324" i="17"/>
  <c r="R324" i="17"/>
  <c r="Y324" i="17"/>
  <c r="Y120" i="17" s="1"/>
  <c r="Y164" i="17" s="1"/>
  <c r="AA324" i="4"/>
  <c r="AA120" i="4" s="1"/>
  <c r="AA164" i="4" s="1"/>
  <c r="BE738" i="7"/>
  <c r="BD562" i="7"/>
  <c r="BD191" i="7" s="1"/>
  <c r="AO583" i="7"/>
  <c r="AK790" i="7"/>
  <c r="AK80" i="7" s="1"/>
  <c r="AX619" i="7"/>
  <c r="AX239" i="7" s="1"/>
  <c r="BA696" i="7"/>
  <c r="BA285" i="7" s="1"/>
  <c r="O790" i="7"/>
  <c r="O80" i="7" s="1"/>
  <c r="AE790" i="7"/>
  <c r="AE80" i="7" s="1"/>
  <c r="BD738" i="7"/>
  <c r="Z696" i="7"/>
  <c r="AI387" i="7"/>
  <c r="AI97" i="7" s="1"/>
  <c r="I696" i="7"/>
  <c r="I285" i="7" s="1"/>
  <c r="X365" i="17"/>
  <c r="X26" i="17" s="1"/>
  <c r="X68" i="17" s="1"/>
  <c r="X91" i="17" s="1"/>
  <c r="V324" i="17"/>
  <c r="V120" i="17" s="1"/>
  <c r="O227" i="4"/>
  <c r="O29" i="4" s="1"/>
  <c r="O73" i="4" s="1"/>
  <c r="AG387" i="7"/>
  <c r="J465" i="7"/>
  <c r="AL507" i="7"/>
  <c r="O486" i="7"/>
  <c r="O145" i="7" s="1"/>
  <c r="AM562" i="7"/>
  <c r="AM191" i="7" s="1"/>
  <c r="AY619" i="7"/>
  <c r="AY239" i="7" s="1"/>
  <c r="BA619" i="7"/>
  <c r="AI738" i="7"/>
  <c r="AI285" i="7" s="1"/>
  <c r="AK696" i="7"/>
  <c r="V147" i="8"/>
  <c r="BD270" i="7"/>
  <c r="BD696" i="7"/>
  <c r="BD285" i="7" s="1"/>
  <c r="AJ177" i="7"/>
  <c r="AJ562" i="7"/>
  <c r="AJ191" i="7" s="1"/>
  <c r="AC465" i="7"/>
  <c r="AC470" i="7"/>
  <c r="AJ131" i="7"/>
  <c r="AJ486" i="7"/>
  <c r="AJ145" i="7" s="1"/>
  <c r="K27" i="7"/>
  <c r="K26" i="7" s="1"/>
  <c r="K32" i="7" s="1"/>
  <c r="K47" i="7" s="1"/>
  <c r="AZ224" i="7"/>
  <c r="AZ619" i="7"/>
  <c r="AZ239" i="7" s="1"/>
  <c r="V224" i="7"/>
  <c r="V619" i="7"/>
  <c r="V239" i="7" s="1"/>
  <c r="AG619" i="7"/>
  <c r="AG239" i="7" s="1"/>
  <c r="AG224" i="7"/>
  <c r="AS619" i="7"/>
  <c r="AS224" i="7"/>
  <c r="Y224" i="7"/>
  <c r="Y619" i="7"/>
  <c r="AO486" i="7"/>
  <c r="T131" i="7"/>
  <c r="T486" i="7"/>
  <c r="AM486" i="7"/>
  <c r="W285" i="7"/>
  <c r="P123" i="17"/>
  <c r="P347" i="17"/>
  <c r="S92" i="8"/>
  <c r="M26" i="18"/>
  <c r="AB272" i="7"/>
  <c r="AB738" i="7"/>
  <c r="AL272" i="7"/>
  <c r="AL738" i="7"/>
  <c r="AL285" i="7" s="1"/>
  <c r="N82" i="7"/>
  <c r="N387" i="7"/>
  <c r="AC776" i="7"/>
  <c r="AC34" i="7" s="1"/>
  <c r="AN486" i="7"/>
  <c r="AY486" i="7"/>
  <c r="BA311" i="7"/>
  <c r="BA51" i="7" s="1"/>
  <c r="T387" i="7"/>
  <c r="U744" i="7"/>
  <c r="V741" i="7" s="1"/>
  <c r="V744" i="7" s="1"/>
  <c r="W741" i="7" s="1"/>
  <c r="W744" i="7" s="1"/>
  <c r="X741" i="7" s="1"/>
  <c r="X227" i="4"/>
  <c r="X29" i="4" s="1"/>
  <c r="M227" i="4"/>
  <c r="M229" i="4" s="1"/>
  <c r="O228" i="4"/>
  <c r="H227" i="4"/>
  <c r="Q166" i="4"/>
  <c r="G279" i="17"/>
  <c r="AE619" i="7"/>
  <c r="AE239" i="7" s="1"/>
  <c r="N486" i="7"/>
  <c r="N145" i="7" s="1"/>
  <c r="BA846" i="7"/>
  <c r="BA268" i="7" s="1"/>
  <c r="Q507" i="7"/>
  <c r="AG486" i="7"/>
  <c r="AG145" i="7" s="1"/>
  <c r="AI776" i="7"/>
  <c r="AI34" i="7" s="1"/>
  <c r="AZ776" i="7"/>
  <c r="AZ34" i="7" s="1"/>
  <c r="AX465" i="7"/>
  <c r="T465" i="7"/>
  <c r="AF619" i="7"/>
  <c r="AF239" i="7" s="1"/>
  <c r="U738" i="7"/>
  <c r="J30" i="7"/>
  <c r="J27" i="7"/>
  <c r="J26" i="7" s="1"/>
  <c r="J32" i="7" s="1"/>
  <c r="J47" i="7" s="1"/>
  <c r="O19" i="9"/>
  <c r="J217" i="7" s="1"/>
  <c r="N19" i="9"/>
  <c r="J169" i="7" s="1"/>
  <c r="K19" i="9"/>
  <c r="J29" i="7"/>
  <c r="J263" i="7"/>
  <c r="J124" i="7"/>
  <c r="K215" i="7"/>
  <c r="K214" i="7" s="1"/>
  <c r="K220" i="7" s="1"/>
  <c r="K235" i="7" s="1"/>
  <c r="P19" i="9"/>
  <c r="J170" i="7"/>
  <c r="C20" i="9"/>
  <c r="L19" i="9"/>
  <c r="J75" i="7" s="1"/>
  <c r="J167" i="7"/>
  <c r="J166" i="7" s="1"/>
  <c r="J172" i="7" s="1"/>
  <c r="J187" i="7" s="1"/>
  <c r="K218" i="7"/>
  <c r="M19" i="9"/>
  <c r="J123" i="7" s="1"/>
  <c r="J218" i="7"/>
  <c r="J264" i="7"/>
  <c r="K76" i="7"/>
  <c r="K167" i="7"/>
  <c r="K166" i="7" s="1"/>
  <c r="K172" i="7" s="1"/>
  <c r="K187" i="7" s="1"/>
  <c r="K124" i="7"/>
  <c r="K121" i="7"/>
  <c r="K120" i="7" s="1"/>
  <c r="K126" i="7" s="1"/>
  <c r="K141" i="7" s="1"/>
  <c r="J261" i="7"/>
  <c r="J260" i="7" s="1"/>
  <c r="J266" i="7" s="1"/>
  <c r="J281" i="7" s="1"/>
  <c r="X147" i="8"/>
  <c r="J215" i="7"/>
  <c r="J214" i="7" s="1"/>
  <c r="J220" i="7" s="1"/>
  <c r="J235" i="7" s="1"/>
  <c r="R135" i="7"/>
  <c r="R144" i="7" s="1"/>
  <c r="R528" i="7"/>
  <c r="AP701" i="7"/>
  <c r="AP696" i="7"/>
  <c r="W270" i="7"/>
  <c r="W696" i="7"/>
  <c r="AG270" i="7"/>
  <c r="AG696" i="7"/>
  <c r="AG285" i="7" s="1"/>
  <c r="K30" i="7"/>
  <c r="AK311" i="7"/>
  <c r="AM776" i="7"/>
  <c r="AM34" i="7" s="1"/>
  <c r="AT311" i="7"/>
  <c r="J73" i="7"/>
  <c r="J72" i="7" s="1"/>
  <c r="J78" i="7" s="1"/>
  <c r="M818" i="7"/>
  <c r="M174" i="7" s="1"/>
  <c r="AA562" i="7"/>
  <c r="AA191" i="7" s="1"/>
  <c r="AD486" i="7"/>
  <c r="H393" i="7"/>
  <c r="I390" i="7" s="1"/>
  <c r="I393" i="7" s="1"/>
  <c r="J390" i="7" s="1"/>
  <c r="J393" i="7" s="1"/>
  <c r="K390" i="7" s="1"/>
  <c r="K393" i="7" s="1"/>
  <c r="L390" i="7" s="1"/>
  <c r="L393" i="7" s="1"/>
  <c r="M390" i="7" s="1"/>
  <c r="M393" i="7" s="1"/>
  <c r="N390" i="7" s="1"/>
  <c r="N393" i="7" s="1"/>
  <c r="O390" i="7" s="1"/>
  <c r="O393" i="7" s="1"/>
  <c r="P390" i="7" s="1"/>
  <c r="P393" i="7" s="1"/>
  <c r="Q390" i="7" s="1"/>
  <c r="Q393" i="7" s="1"/>
  <c r="R390" i="7" s="1"/>
  <c r="R393" i="7" s="1"/>
  <c r="S390" i="7" s="1"/>
  <c r="S393" i="7" s="1"/>
  <c r="T390" i="7" s="1"/>
  <c r="T393" i="7" s="1"/>
  <c r="U390" i="7" s="1"/>
  <c r="U393" i="7" s="1"/>
  <c r="V390" i="7" s="1"/>
  <c r="V393" i="7" s="1"/>
  <c r="W390" i="7" s="1"/>
  <c r="W393" i="7" s="1"/>
  <c r="X390" i="7" s="1"/>
  <c r="X393" i="7" s="1"/>
  <c r="Y390" i="7" s="1"/>
  <c r="Y393" i="7" s="1"/>
  <c r="Z390" i="7" s="1"/>
  <c r="Z393" i="7" s="1"/>
  <c r="AA390" i="7" s="1"/>
  <c r="AA393" i="7" s="1"/>
  <c r="AB390" i="7" s="1"/>
  <c r="AB393" i="7" s="1"/>
  <c r="AC390" i="7" s="1"/>
  <c r="AC393" i="7" s="1"/>
  <c r="AD390" i="7" s="1"/>
  <c r="AD393" i="7" s="1"/>
  <c r="AE390" i="7" s="1"/>
  <c r="AE393" i="7" s="1"/>
  <c r="AF390" i="7" s="1"/>
  <c r="AF393" i="7" s="1"/>
  <c r="AG390" i="7" s="1"/>
  <c r="AG393" i="7" s="1"/>
  <c r="AH390" i="7" s="1"/>
  <c r="AH393" i="7" s="1"/>
  <c r="AI390" i="7" s="1"/>
  <c r="AI393" i="7" s="1"/>
  <c r="AJ390" i="7" s="1"/>
  <c r="AJ393" i="7" s="1"/>
  <c r="AK390" i="7" s="1"/>
  <c r="AK393" i="7" s="1"/>
  <c r="AL390" i="7" s="1"/>
  <c r="AL393" i="7" s="1"/>
  <c r="AM390" i="7" s="1"/>
  <c r="AM393" i="7" s="1"/>
  <c r="AN390" i="7" s="1"/>
  <c r="AN393" i="7" s="1"/>
  <c r="AO390" i="7" s="1"/>
  <c r="AO393" i="7" s="1"/>
  <c r="AP390" i="7" s="1"/>
  <c r="AP393" i="7" s="1"/>
  <c r="AQ390" i="7" s="1"/>
  <c r="AQ393" i="7" s="1"/>
  <c r="AR390" i="7" s="1"/>
  <c r="AR393" i="7" s="1"/>
  <c r="AS390" i="7" s="1"/>
  <c r="AS393" i="7" s="1"/>
  <c r="AT390" i="7" s="1"/>
  <c r="AT393" i="7" s="1"/>
  <c r="AU390" i="7" s="1"/>
  <c r="AU393" i="7" s="1"/>
  <c r="AV390" i="7" s="1"/>
  <c r="AV393" i="7" s="1"/>
  <c r="AW390" i="7" s="1"/>
  <c r="AW393" i="7" s="1"/>
  <c r="AX390" i="7" s="1"/>
  <c r="AX393" i="7" s="1"/>
  <c r="AY390" i="7" s="1"/>
  <c r="AY393" i="7" s="1"/>
  <c r="AZ390" i="7" s="1"/>
  <c r="AZ393" i="7" s="1"/>
  <c r="BA390" i="7" s="1"/>
  <c r="BA393" i="7" s="1"/>
  <c r="BB390" i="7" s="1"/>
  <c r="BB393" i="7" s="1"/>
  <c r="BC390" i="7" s="1"/>
  <c r="BC393" i="7" s="1"/>
  <c r="BD390" i="7" s="1"/>
  <c r="BD393" i="7" s="1"/>
  <c r="BE390" i="7" s="1"/>
  <c r="BE393" i="7" s="1"/>
  <c r="Q387" i="7"/>
  <c r="Q832" i="7"/>
  <c r="Q222" i="7" s="1"/>
  <c r="AJ239" i="7"/>
  <c r="AJ832" i="7"/>
  <c r="AJ222" i="7" s="1"/>
  <c r="BE832" i="7"/>
  <c r="BE222" i="7" s="1"/>
  <c r="Y818" i="7"/>
  <c r="Y174" i="7" s="1"/>
  <c r="U387" i="7"/>
  <c r="H429" i="7"/>
  <c r="AM507" i="7"/>
  <c r="AV507" i="7"/>
  <c r="AS486" i="7"/>
  <c r="Q486" i="7"/>
  <c r="AV465" i="7"/>
  <c r="AU486" i="7"/>
  <c r="N191" i="7"/>
  <c r="J818" i="7"/>
  <c r="J174" i="7" s="1"/>
  <c r="I818" i="7"/>
  <c r="I174" i="7" s="1"/>
  <c r="AR51" i="7"/>
  <c r="AJ387" i="7"/>
  <c r="AJ97" i="7" s="1"/>
  <c r="AS387" i="7"/>
  <c r="AM387" i="7"/>
  <c r="L387" i="7"/>
  <c r="AW387" i="7"/>
  <c r="AW97" i="7" s="1"/>
  <c r="K387" i="7"/>
  <c r="BC486" i="7"/>
  <c r="AZ465" i="7"/>
  <c r="AP486" i="7"/>
  <c r="H562" i="7"/>
  <c r="AK619" i="7"/>
  <c r="H619" i="7"/>
  <c r="AM239" i="7"/>
  <c r="AK285" i="7"/>
  <c r="AQ738" i="7"/>
  <c r="AV696" i="7"/>
  <c r="U285" i="7"/>
  <c r="AS696" i="7"/>
  <c r="BE285" i="7"/>
  <c r="T429" i="7"/>
  <c r="AY738" i="7"/>
  <c r="AR738" i="7"/>
  <c r="P228" i="4"/>
  <c r="P95" i="4" s="1"/>
  <c r="W227" i="4"/>
  <c r="W29" i="4" s="1"/>
  <c r="T228" i="4"/>
  <c r="AA227" i="4"/>
  <c r="U227" i="4"/>
  <c r="U29" i="4" s="1"/>
  <c r="AA228" i="4"/>
  <c r="S228" i="4"/>
  <c r="K228" i="4"/>
  <c r="M379" i="4"/>
  <c r="M116" i="4" s="1"/>
  <c r="M158" i="4" s="1"/>
  <c r="M181" i="4" s="1"/>
  <c r="X325" i="4"/>
  <c r="X331" i="4" s="1"/>
  <c r="T324" i="4"/>
  <c r="X324" i="4"/>
  <c r="X120" i="4" s="1"/>
  <c r="X164" i="4" s="1"/>
  <c r="H335" i="4"/>
  <c r="H121" i="4" s="1"/>
  <c r="H165" i="4" s="1"/>
  <c r="S365" i="4"/>
  <c r="S26" i="4" s="1"/>
  <c r="V379" i="17"/>
  <c r="V116" i="17" s="1"/>
  <c r="V158" i="17" s="1"/>
  <c r="V181" i="17" s="1"/>
  <c r="M379" i="17"/>
  <c r="M116" i="17" s="1"/>
  <c r="M158" i="17" s="1"/>
  <c r="M181" i="17" s="1"/>
  <c r="I282" i="17"/>
  <c r="I118" i="17" s="1"/>
  <c r="I162" i="17" s="1"/>
  <c r="Y282" i="17"/>
  <c r="Y118" i="17" s="1"/>
  <c r="Y162" i="17" s="1"/>
  <c r="Q282" i="17"/>
  <c r="J283" i="17"/>
  <c r="J289" i="17" s="1"/>
  <c r="T282" i="17"/>
  <c r="T284" i="17" s="1"/>
  <c r="J282" i="17"/>
  <c r="J284" i="17" s="1"/>
  <c r="X282" i="17"/>
  <c r="Q283" i="17"/>
  <c r="Q289" i="17" s="1"/>
  <c r="H293" i="17"/>
  <c r="H121" i="17" s="1"/>
  <c r="H129" i="17" s="1"/>
  <c r="H214" i="4"/>
  <c r="I211" i="4" s="1"/>
  <c r="I214" i="4" s="1"/>
  <c r="J211" i="4" s="1"/>
  <c r="J214" i="4" s="1"/>
  <c r="K211" i="4" s="1"/>
  <c r="K214" i="4" s="1"/>
  <c r="L211" i="4" s="1"/>
  <c r="L214" i="4" s="1"/>
  <c r="M211" i="4" s="1"/>
  <c r="M214" i="4" s="1"/>
  <c r="N211" i="4" s="1"/>
  <c r="N214" i="4" s="1"/>
  <c r="O211" i="4" s="1"/>
  <c r="O214" i="4" s="1"/>
  <c r="P211" i="4" s="1"/>
  <c r="P214" i="4" s="1"/>
  <c r="Q211" i="4" s="1"/>
  <c r="Q214" i="4" s="1"/>
  <c r="R211" i="4" s="1"/>
  <c r="R214" i="4" s="1"/>
  <c r="S211" i="4" s="1"/>
  <c r="S214" i="4" s="1"/>
  <c r="T211" i="4" s="1"/>
  <c r="T214" i="4" s="1"/>
  <c r="U211" i="4" s="1"/>
  <c r="U214" i="4" s="1"/>
  <c r="V211" i="4" s="1"/>
  <c r="V214" i="4" s="1"/>
  <c r="W211" i="4" s="1"/>
  <c r="W214" i="4" s="1"/>
  <c r="X211" i="4" s="1"/>
  <c r="X214" i="4" s="1"/>
  <c r="Y211" i="4" s="1"/>
  <c r="Y214" i="4" s="1"/>
  <c r="Z211" i="4" s="1"/>
  <c r="Z214" i="4" s="1"/>
  <c r="AA211" i="4" s="1"/>
  <c r="AA214" i="4" s="1"/>
  <c r="V282" i="17"/>
  <c r="V118" i="17" s="1"/>
  <c r="V162" i="17" s="1"/>
  <c r="H325" i="17"/>
  <c r="H331" i="17" s="1"/>
  <c r="M325" i="17"/>
  <c r="M331" i="17" s="1"/>
  <c r="V325" i="17"/>
  <c r="V331" i="17" s="1"/>
  <c r="I325" i="17"/>
  <c r="I331" i="17" s="1"/>
  <c r="T324" i="17"/>
  <c r="T120" i="17" s="1"/>
  <c r="T164" i="17" s="1"/>
  <c r="K325" i="17"/>
  <c r="K331" i="17" s="1"/>
  <c r="S324" i="17"/>
  <c r="S120" i="17" s="1"/>
  <c r="S164" i="17" s="1"/>
  <c r="Z324" i="17"/>
  <c r="Z120" i="17" s="1"/>
  <c r="Z164" i="17" s="1"/>
  <c r="BB696" i="7"/>
  <c r="AD562" i="7"/>
  <c r="AD191" i="7" s="1"/>
  <c r="H387" i="7"/>
  <c r="H625" i="7"/>
  <c r="I622" i="7" s="1"/>
  <c r="I625" i="7" s="1"/>
  <c r="J622" i="7" s="1"/>
  <c r="J625" i="7" s="1"/>
  <c r="K622" i="7" s="1"/>
  <c r="K625" i="7" s="1"/>
  <c r="L622" i="7" s="1"/>
  <c r="L625" i="7" s="1"/>
  <c r="M622" i="7" s="1"/>
  <c r="M625" i="7" s="1"/>
  <c r="N622" i="7" s="1"/>
  <c r="N625" i="7" s="1"/>
  <c r="O622" i="7" s="1"/>
  <c r="O625" i="7" s="1"/>
  <c r="P622" i="7" s="1"/>
  <c r="P625" i="7" s="1"/>
  <c r="Q622" i="7" s="1"/>
  <c r="Q625" i="7" s="1"/>
  <c r="R622" i="7" s="1"/>
  <c r="AZ507" i="7"/>
  <c r="AW804" i="7"/>
  <c r="AW128" i="7" s="1"/>
  <c r="Q429" i="7"/>
  <c r="I619" i="7"/>
  <c r="I239" i="7" s="1"/>
  <c r="AD619" i="7"/>
  <c r="AX696" i="7"/>
  <c r="AX285" i="7" s="1"/>
  <c r="AZ387" i="7"/>
  <c r="R846" i="7"/>
  <c r="R268" i="7" s="1"/>
  <c r="Z228" i="4"/>
  <c r="Z234" i="4" s="1"/>
  <c r="AW311" i="7"/>
  <c r="AW51" i="7" s="1"/>
  <c r="AY776" i="7"/>
  <c r="AY34" i="7" s="1"/>
  <c r="W486" i="7"/>
  <c r="W145" i="7" s="1"/>
  <c r="AZ696" i="7"/>
  <c r="AZ285" i="7" s="1"/>
  <c r="AP272" i="7"/>
  <c r="AP738" i="7"/>
  <c r="BC272" i="7"/>
  <c r="BC738" i="7"/>
  <c r="I82" i="7"/>
  <c r="I98" i="7" s="1"/>
  <c r="I387" i="7"/>
  <c r="AT387" i="7"/>
  <c r="AT97" i="7" s="1"/>
  <c r="BC562" i="7"/>
  <c r="BC191" i="7" s="1"/>
  <c r="T619" i="7"/>
  <c r="AA619" i="7"/>
  <c r="AA224" i="7"/>
  <c r="S723" i="7"/>
  <c r="T720" i="7" s="1"/>
  <c r="T723" i="7" s="1"/>
  <c r="U720" i="7" s="1"/>
  <c r="U723" i="7" s="1"/>
  <c r="V720" i="7" s="1"/>
  <c r="V723" i="7" s="1"/>
  <c r="W720" i="7" s="1"/>
  <c r="W723" i="7" s="1"/>
  <c r="X720" i="7" s="1"/>
  <c r="X723" i="7" s="1"/>
  <c r="Y720" i="7" s="1"/>
  <c r="Y723" i="7" s="1"/>
  <c r="Z720" i="7" s="1"/>
  <c r="Z723" i="7" s="1"/>
  <c r="AA720" i="7" s="1"/>
  <c r="AA723" i="7" s="1"/>
  <c r="AB720" i="7" s="1"/>
  <c r="AB723" i="7" s="1"/>
  <c r="AC720" i="7" s="1"/>
  <c r="AC723" i="7" s="1"/>
  <c r="AD720" i="7" s="1"/>
  <c r="AD723" i="7" s="1"/>
  <c r="AE720" i="7" s="1"/>
  <c r="AE723" i="7" s="1"/>
  <c r="AF720" i="7" s="1"/>
  <c r="AF723" i="7" s="1"/>
  <c r="AG720" i="7" s="1"/>
  <c r="AG723" i="7" s="1"/>
  <c r="AH720" i="7" s="1"/>
  <c r="AH723" i="7" s="1"/>
  <c r="AI720" i="7" s="1"/>
  <c r="AI723" i="7" s="1"/>
  <c r="AJ720" i="7" s="1"/>
  <c r="AJ723" i="7" s="1"/>
  <c r="AK720" i="7" s="1"/>
  <c r="AK723" i="7" s="1"/>
  <c r="AL720" i="7" s="1"/>
  <c r="AL723" i="7" s="1"/>
  <c r="AM720" i="7" s="1"/>
  <c r="AM723" i="7" s="1"/>
  <c r="AN720" i="7" s="1"/>
  <c r="AN723" i="7" s="1"/>
  <c r="AO720" i="7" s="1"/>
  <c r="AO723" i="7" s="1"/>
  <c r="AP720" i="7" s="1"/>
  <c r="AP723" i="7" s="1"/>
  <c r="AQ720" i="7" s="1"/>
  <c r="AQ723" i="7" s="1"/>
  <c r="AR720" i="7" s="1"/>
  <c r="AR723" i="7" s="1"/>
  <c r="AS720" i="7" s="1"/>
  <c r="AS723" i="7" s="1"/>
  <c r="AT720" i="7" s="1"/>
  <c r="AT723" i="7" s="1"/>
  <c r="AU720" i="7" s="1"/>
  <c r="AU723" i="7" s="1"/>
  <c r="AV720" i="7" s="1"/>
  <c r="AV723" i="7" s="1"/>
  <c r="AW720" i="7" s="1"/>
  <c r="AW723" i="7" s="1"/>
  <c r="AX720" i="7" s="1"/>
  <c r="AX723" i="7" s="1"/>
  <c r="AY720" i="7" s="1"/>
  <c r="AY723" i="7" s="1"/>
  <c r="AZ720" i="7" s="1"/>
  <c r="AZ723" i="7" s="1"/>
  <c r="BA720" i="7" s="1"/>
  <c r="BA723" i="7" s="1"/>
  <c r="BB720" i="7" s="1"/>
  <c r="BB723" i="7" s="1"/>
  <c r="BC720" i="7" s="1"/>
  <c r="BC723" i="7" s="1"/>
  <c r="BD720" i="7" s="1"/>
  <c r="S846" i="7"/>
  <c r="S268" i="7" s="1"/>
  <c r="AQ846" i="7"/>
  <c r="AQ268" i="7" s="1"/>
  <c r="AE832" i="7"/>
  <c r="AE222" i="7" s="1"/>
  <c r="H227" i="7"/>
  <c r="H236" i="7" s="1"/>
  <c r="AX832" i="7"/>
  <c r="AX222" i="7" s="1"/>
  <c r="N832" i="7"/>
  <c r="N222" i="7" s="1"/>
  <c r="AU239" i="7"/>
  <c r="AN832" i="7"/>
  <c r="AN222" i="7" s="1"/>
  <c r="AL239" i="7"/>
  <c r="BA239" i="7"/>
  <c r="AP818" i="7"/>
  <c r="AP174" i="7" s="1"/>
  <c r="AO818" i="7"/>
  <c r="AO174" i="7" s="1"/>
  <c r="AL818" i="7"/>
  <c r="AL174" i="7" s="1"/>
  <c r="N818" i="7"/>
  <c r="N174" i="7" s="1"/>
  <c r="K818" i="7"/>
  <c r="K174" i="7" s="1"/>
  <c r="U191" i="7"/>
  <c r="BB191" i="7"/>
  <c r="AA818" i="7"/>
  <c r="AA174" i="7" s="1"/>
  <c r="AE818" i="7"/>
  <c r="AE174" i="7" s="1"/>
  <c r="AN818" i="7"/>
  <c r="AN174" i="7" s="1"/>
  <c r="R191" i="7"/>
  <c r="M191" i="7"/>
  <c r="AX145" i="7"/>
  <c r="J492" i="7"/>
  <c r="K489" i="7" s="1"/>
  <c r="K492" i="7" s="1"/>
  <c r="L489" i="7" s="1"/>
  <c r="L492" i="7" s="1"/>
  <c r="M489" i="7" s="1"/>
  <c r="M492" i="7" s="1"/>
  <c r="N489" i="7" s="1"/>
  <c r="N492" i="7" s="1"/>
  <c r="O489" i="7" s="1"/>
  <c r="O492" i="7" s="1"/>
  <c r="P489" i="7" s="1"/>
  <c r="P492" i="7" s="1"/>
  <c r="Q489" i="7" s="1"/>
  <c r="Q492" i="7" s="1"/>
  <c r="R489" i="7" s="1"/>
  <c r="R492" i="7" s="1"/>
  <c r="S489" i="7" s="1"/>
  <c r="S492" i="7" s="1"/>
  <c r="T489" i="7" s="1"/>
  <c r="T492" i="7" s="1"/>
  <c r="U489" i="7" s="1"/>
  <c r="U492" i="7" s="1"/>
  <c r="V489" i="7" s="1"/>
  <c r="V492" i="7" s="1"/>
  <c r="W489" i="7" s="1"/>
  <c r="W492" i="7" s="1"/>
  <c r="X489" i="7" s="1"/>
  <c r="X492" i="7" s="1"/>
  <c r="Y489" i="7" s="1"/>
  <c r="Y492" i="7" s="1"/>
  <c r="Z489" i="7" s="1"/>
  <c r="Z492" i="7" s="1"/>
  <c r="AA489" i="7" s="1"/>
  <c r="AA492" i="7" s="1"/>
  <c r="AB489" i="7" s="1"/>
  <c r="AB492" i="7" s="1"/>
  <c r="AC489" i="7" s="1"/>
  <c r="AC492" i="7" s="1"/>
  <c r="AD489" i="7" s="1"/>
  <c r="AD492" i="7" s="1"/>
  <c r="AE489" i="7" s="1"/>
  <c r="AE492" i="7" s="1"/>
  <c r="AF489" i="7" s="1"/>
  <c r="AF492" i="7" s="1"/>
  <c r="AG489" i="7" s="1"/>
  <c r="AG492" i="7" s="1"/>
  <c r="AH489" i="7" s="1"/>
  <c r="AH492" i="7" s="1"/>
  <c r="AI489" i="7" s="1"/>
  <c r="AI492" i="7" s="1"/>
  <c r="AJ489" i="7" s="1"/>
  <c r="AJ492" i="7" s="1"/>
  <c r="AK489" i="7" s="1"/>
  <c r="AK492" i="7" s="1"/>
  <c r="AL489" i="7" s="1"/>
  <c r="AL492" i="7" s="1"/>
  <c r="AM489" i="7" s="1"/>
  <c r="AM492" i="7" s="1"/>
  <c r="AN489" i="7" s="1"/>
  <c r="AN492" i="7" s="1"/>
  <c r="AO489" i="7" s="1"/>
  <c r="AO492" i="7" s="1"/>
  <c r="AP489" i="7" s="1"/>
  <c r="AP492" i="7" s="1"/>
  <c r="AQ489" i="7" s="1"/>
  <c r="AQ492" i="7" s="1"/>
  <c r="AR489" i="7" s="1"/>
  <c r="AR492" i="7" s="1"/>
  <c r="AS489" i="7" s="1"/>
  <c r="AS492" i="7" s="1"/>
  <c r="AT489" i="7" s="1"/>
  <c r="AT492" i="7" s="1"/>
  <c r="AU489" i="7" s="1"/>
  <c r="AU492" i="7" s="1"/>
  <c r="AV489" i="7" s="1"/>
  <c r="AV492" i="7" s="1"/>
  <c r="AW489" i="7" s="1"/>
  <c r="AW492" i="7" s="1"/>
  <c r="AX489" i="7" s="1"/>
  <c r="AX492" i="7" s="1"/>
  <c r="AY489" i="7" s="1"/>
  <c r="AY492" i="7" s="1"/>
  <c r="AZ489" i="7" s="1"/>
  <c r="AZ492" i="7" s="1"/>
  <c r="BA489" i="7" s="1"/>
  <c r="BA492" i="7" s="1"/>
  <c r="BB489" i="7" s="1"/>
  <c r="BB492" i="7" s="1"/>
  <c r="BC489" i="7" s="1"/>
  <c r="BC492" i="7" s="1"/>
  <c r="BD489" i="7" s="1"/>
  <c r="BD492" i="7" s="1"/>
  <c r="BE489" i="7" s="1"/>
  <c r="BE492" i="7" s="1"/>
  <c r="H513" i="7"/>
  <c r="I510" i="7" s="1"/>
  <c r="I513" i="7" s="1"/>
  <c r="J510" i="7" s="1"/>
  <c r="J513" i="7" s="1"/>
  <c r="K510" i="7" s="1"/>
  <c r="K513" i="7" s="1"/>
  <c r="L510" i="7" s="1"/>
  <c r="L513" i="7" s="1"/>
  <c r="M510" i="7" s="1"/>
  <c r="M513" i="7" s="1"/>
  <c r="N510" i="7" s="1"/>
  <c r="N513" i="7" s="1"/>
  <c r="O510" i="7" s="1"/>
  <c r="O513" i="7" s="1"/>
  <c r="P510" i="7" s="1"/>
  <c r="P513" i="7" s="1"/>
  <c r="Q510" i="7" s="1"/>
  <c r="Q513" i="7" s="1"/>
  <c r="R510" i="7" s="1"/>
  <c r="R513" i="7" s="1"/>
  <c r="S510" i="7" s="1"/>
  <c r="S513" i="7" s="1"/>
  <c r="T510" i="7" s="1"/>
  <c r="T513" i="7" s="1"/>
  <c r="U510" i="7" s="1"/>
  <c r="U513" i="7" s="1"/>
  <c r="V510" i="7" s="1"/>
  <c r="V513" i="7" s="1"/>
  <c r="W510" i="7" s="1"/>
  <c r="W513" i="7" s="1"/>
  <c r="X510" i="7" s="1"/>
  <c r="X513" i="7" s="1"/>
  <c r="Y510" i="7" s="1"/>
  <c r="Y513" i="7" s="1"/>
  <c r="Z510" i="7" s="1"/>
  <c r="Z513" i="7" s="1"/>
  <c r="AA510" i="7" s="1"/>
  <c r="AA513" i="7" s="1"/>
  <c r="AB510" i="7" s="1"/>
  <c r="AB513" i="7" s="1"/>
  <c r="AC510" i="7" s="1"/>
  <c r="AC513" i="7" s="1"/>
  <c r="AD510" i="7" s="1"/>
  <c r="AD513" i="7" s="1"/>
  <c r="AE510" i="7" s="1"/>
  <c r="AE513" i="7" s="1"/>
  <c r="AF510" i="7" s="1"/>
  <c r="AF513" i="7" s="1"/>
  <c r="AG510" i="7" s="1"/>
  <c r="AG513" i="7" s="1"/>
  <c r="AH510" i="7" s="1"/>
  <c r="AH513" i="7" s="1"/>
  <c r="AI510" i="7" s="1"/>
  <c r="AI513" i="7" s="1"/>
  <c r="AJ510" i="7" s="1"/>
  <c r="AJ513" i="7" s="1"/>
  <c r="AK510" i="7" s="1"/>
  <c r="AK513" i="7" s="1"/>
  <c r="AL510" i="7" s="1"/>
  <c r="AL513" i="7" s="1"/>
  <c r="AM510" i="7" s="1"/>
  <c r="AM513" i="7" s="1"/>
  <c r="AN510" i="7" s="1"/>
  <c r="AN513" i="7" s="1"/>
  <c r="AO510" i="7" s="1"/>
  <c r="AO513" i="7" s="1"/>
  <c r="AP510" i="7" s="1"/>
  <c r="AP513" i="7" s="1"/>
  <c r="AQ510" i="7" s="1"/>
  <c r="AQ513" i="7" s="1"/>
  <c r="AR510" i="7" s="1"/>
  <c r="AR513" i="7" s="1"/>
  <c r="AS510" i="7" s="1"/>
  <c r="AS513" i="7" s="1"/>
  <c r="AT510" i="7" s="1"/>
  <c r="AT513" i="7" s="1"/>
  <c r="AU510" i="7" s="1"/>
  <c r="AU513" i="7" s="1"/>
  <c r="AV510" i="7" s="1"/>
  <c r="AV513" i="7" s="1"/>
  <c r="AW510" i="7" s="1"/>
  <c r="AW513" i="7" s="1"/>
  <c r="AX510" i="7" s="1"/>
  <c r="AX513" i="7" s="1"/>
  <c r="AY510" i="7" s="1"/>
  <c r="AY513" i="7" s="1"/>
  <c r="AZ510" i="7" s="1"/>
  <c r="AZ513" i="7" s="1"/>
  <c r="BA510" i="7" s="1"/>
  <c r="BA513" i="7" s="1"/>
  <c r="BB510" i="7" s="1"/>
  <c r="BB513" i="7" s="1"/>
  <c r="BC510" i="7" s="1"/>
  <c r="BC513" i="7" s="1"/>
  <c r="BD510" i="7" s="1"/>
  <c r="BD513" i="7" s="1"/>
  <c r="BE510" i="7" s="1"/>
  <c r="BE513" i="7" s="1"/>
  <c r="AQ804" i="7"/>
  <c r="AQ128" i="7" s="1"/>
  <c r="BE804" i="7"/>
  <c r="BE128" i="7" s="1"/>
  <c r="AK145" i="7"/>
  <c r="H435" i="7"/>
  <c r="I432" i="7" s="1"/>
  <c r="I435" i="7" s="1"/>
  <c r="J432" i="7" s="1"/>
  <c r="J435" i="7" s="1"/>
  <c r="K432" i="7" s="1"/>
  <c r="K435" i="7" s="1"/>
  <c r="L432" i="7" s="1"/>
  <c r="L435" i="7" s="1"/>
  <c r="M432" i="7" s="1"/>
  <c r="M435" i="7" s="1"/>
  <c r="N432" i="7" s="1"/>
  <c r="N435" i="7" s="1"/>
  <c r="O432" i="7" s="1"/>
  <c r="O435" i="7" s="1"/>
  <c r="P432" i="7" s="1"/>
  <c r="P435" i="7" s="1"/>
  <c r="Q432" i="7" s="1"/>
  <c r="Q435" i="7" s="1"/>
  <c r="R432" i="7" s="1"/>
  <c r="R435" i="7" s="1"/>
  <c r="S432" i="7" s="1"/>
  <c r="S435" i="7" s="1"/>
  <c r="T432" i="7" s="1"/>
  <c r="T435" i="7" s="1"/>
  <c r="U432" i="7" s="1"/>
  <c r="U435" i="7" s="1"/>
  <c r="V432" i="7" s="1"/>
  <c r="V435" i="7" s="1"/>
  <c r="W432" i="7" s="1"/>
  <c r="W435" i="7" s="1"/>
  <c r="X432" i="7" s="1"/>
  <c r="X435" i="7" s="1"/>
  <c r="Y432" i="7" s="1"/>
  <c r="Y435" i="7" s="1"/>
  <c r="Z432" i="7" s="1"/>
  <c r="Z435" i="7" s="1"/>
  <c r="AA432" i="7" s="1"/>
  <c r="AA435" i="7" s="1"/>
  <c r="AB432" i="7" s="1"/>
  <c r="AB435" i="7" s="1"/>
  <c r="AC432" i="7" s="1"/>
  <c r="AC435" i="7" s="1"/>
  <c r="AD432" i="7" s="1"/>
  <c r="AD435" i="7" s="1"/>
  <c r="AE432" i="7" s="1"/>
  <c r="AE435" i="7" s="1"/>
  <c r="AF432" i="7" s="1"/>
  <c r="AF435" i="7" s="1"/>
  <c r="AG432" i="7" s="1"/>
  <c r="AG435" i="7" s="1"/>
  <c r="AH432" i="7" s="1"/>
  <c r="AH435" i="7" s="1"/>
  <c r="AI432" i="7" s="1"/>
  <c r="AI435" i="7" s="1"/>
  <c r="AJ432" i="7" s="1"/>
  <c r="AJ435" i="7" s="1"/>
  <c r="AK432" i="7" s="1"/>
  <c r="AK435" i="7" s="1"/>
  <c r="AL432" i="7" s="1"/>
  <c r="AL435" i="7" s="1"/>
  <c r="AM432" i="7" s="1"/>
  <c r="AM435" i="7" s="1"/>
  <c r="AN432" i="7" s="1"/>
  <c r="AN435" i="7" s="1"/>
  <c r="AO432" i="7" s="1"/>
  <c r="AO435" i="7" s="1"/>
  <c r="AP432" i="7" s="1"/>
  <c r="AP435" i="7" s="1"/>
  <c r="AQ432" i="7" s="1"/>
  <c r="AQ435" i="7" s="1"/>
  <c r="AR432" i="7" s="1"/>
  <c r="AR435" i="7" s="1"/>
  <c r="AS432" i="7" s="1"/>
  <c r="AS435" i="7" s="1"/>
  <c r="AT432" i="7" s="1"/>
  <c r="AT435" i="7" s="1"/>
  <c r="AU432" i="7" s="1"/>
  <c r="AU435" i="7" s="1"/>
  <c r="AV432" i="7" s="1"/>
  <c r="AV435" i="7" s="1"/>
  <c r="AW432" i="7" s="1"/>
  <c r="AW435" i="7" s="1"/>
  <c r="AX432" i="7" s="1"/>
  <c r="AX435" i="7" s="1"/>
  <c r="AY432" i="7" s="1"/>
  <c r="AY435" i="7" s="1"/>
  <c r="AZ432" i="7" s="1"/>
  <c r="AZ435" i="7" s="1"/>
  <c r="BA432" i="7" s="1"/>
  <c r="BA435" i="7" s="1"/>
  <c r="BB432" i="7" s="1"/>
  <c r="BB435" i="7" s="1"/>
  <c r="BC432" i="7" s="1"/>
  <c r="BC435" i="7" s="1"/>
  <c r="BD432" i="7" s="1"/>
  <c r="BD435" i="7" s="1"/>
  <c r="BE432" i="7" s="1"/>
  <c r="BE435" i="7" s="1"/>
  <c r="I429" i="7"/>
  <c r="V429" i="7"/>
  <c r="AA790" i="7"/>
  <c r="AA80" i="7" s="1"/>
  <c r="AQ790" i="7"/>
  <c r="AQ80" i="7" s="1"/>
  <c r="BE790" i="7"/>
  <c r="BE80" i="7" s="1"/>
  <c r="L790" i="7"/>
  <c r="L80" i="7" s="1"/>
  <c r="BE97" i="7"/>
  <c r="Q84" i="7"/>
  <c r="P429" i="7"/>
  <c r="P97" i="7" s="1"/>
  <c r="AO97" i="7"/>
  <c r="AN97" i="7"/>
  <c r="L429" i="7"/>
  <c r="L97" i="7" s="1"/>
  <c r="AD790" i="7"/>
  <c r="AD80" i="7" s="1"/>
  <c r="U790" i="7"/>
  <c r="U80" i="7" s="1"/>
  <c r="AF776" i="7"/>
  <c r="AF34" i="7" s="1"/>
  <c r="Z776" i="7"/>
  <c r="Z34" i="7" s="1"/>
  <c r="R776" i="7"/>
  <c r="R34" i="7" s="1"/>
  <c r="J776" i="7"/>
  <c r="J34" i="7" s="1"/>
  <c r="U51" i="7"/>
  <c r="AD51" i="7"/>
  <c r="AG51" i="7"/>
  <c r="AT776" i="7"/>
  <c r="AT34" i="7" s="1"/>
  <c r="AG776" i="7"/>
  <c r="AG34" i="7" s="1"/>
  <c r="AL776" i="7"/>
  <c r="AL34" i="7" s="1"/>
  <c r="AN51" i="7"/>
  <c r="AX51" i="7"/>
  <c r="H776" i="7"/>
  <c r="H34" i="7" s="1"/>
  <c r="T776" i="7"/>
  <c r="T34" i="7" s="1"/>
  <c r="P776" i="7"/>
  <c r="P34" i="7" s="1"/>
  <c r="R51" i="7"/>
  <c r="AL51" i="7"/>
  <c r="AY51" i="7"/>
  <c r="X92" i="8"/>
  <c r="R41" i="18" s="1"/>
  <c r="Q326" i="17"/>
  <c r="M305" i="17"/>
  <c r="N305" i="17"/>
  <c r="H326" i="17"/>
  <c r="I326" i="17"/>
  <c r="L65" i="16"/>
  <c r="P326" i="17"/>
  <c r="X326" i="17"/>
  <c r="AA326" i="17"/>
  <c r="H332" i="17"/>
  <c r="I329" i="17" s="1"/>
  <c r="I332" i="17" s="1"/>
  <c r="J329" i="17" s="1"/>
  <c r="J332" i="17" s="1"/>
  <c r="K329" i="17" s="1"/>
  <c r="V30" i="4"/>
  <c r="V74" i="4" s="1"/>
  <c r="J33" i="17"/>
  <c r="H33" i="4"/>
  <c r="O326" i="17"/>
  <c r="T271" i="4"/>
  <c r="V271" i="17"/>
  <c r="R76" i="4"/>
  <c r="H33" i="17"/>
  <c r="H41" i="17" s="1"/>
  <c r="H235" i="17"/>
  <c r="I232" i="17" s="1"/>
  <c r="X229" i="17"/>
  <c r="O41" i="4"/>
  <c r="Y208" i="4"/>
  <c r="M208" i="4"/>
  <c r="Y250" i="17"/>
  <c r="J326" i="17"/>
  <c r="AA123" i="17"/>
  <c r="AA131" i="17" s="1"/>
  <c r="K250" i="17"/>
  <c r="AA208" i="4"/>
  <c r="H379" i="4"/>
  <c r="H116" i="4" s="1"/>
  <c r="H158" i="4" s="1"/>
  <c r="H181" i="4" s="1"/>
  <c r="V271" i="4"/>
  <c r="I77" i="17"/>
  <c r="Y77" i="17"/>
  <c r="U76" i="4"/>
  <c r="S77" i="17"/>
  <c r="Q347" i="4"/>
  <c r="Q33" i="17"/>
  <c r="R123" i="4"/>
  <c r="R131" i="4" s="1"/>
  <c r="T379" i="4"/>
  <c r="T116" i="4" s="1"/>
  <c r="T158" i="4" s="1"/>
  <c r="T181" i="4" s="1"/>
  <c r="U379" i="4"/>
  <c r="U116" i="4" s="1"/>
  <c r="U158" i="4" s="1"/>
  <c r="U181" i="4" s="1"/>
  <c r="J379" i="4"/>
  <c r="J116" i="4" s="1"/>
  <c r="J158" i="4" s="1"/>
  <c r="J181" i="4" s="1"/>
  <c r="V379" i="4"/>
  <c r="V116" i="4" s="1"/>
  <c r="V158" i="4" s="1"/>
  <c r="V181" i="4" s="1"/>
  <c r="Z379" i="4"/>
  <c r="Z116" i="4" s="1"/>
  <c r="Z158" i="4" s="1"/>
  <c r="Z181" i="4" s="1"/>
  <c r="N365" i="4"/>
  <c r="N26" i="4" s="1"/>
  <c r="N68" i="4" s="1"/>
  <c r="N91" i="4" s="1"/>
  <c r="L347" i="4"/>
  <c r="Z208" i="4"/>
  <c r="S379" i="4"/>
  <c r="S116" i="4" s="1"/>
  <c r="R379" i="4"/>
  <c r="R116" i="4" s="1"/>
  <c r="R158" i="4" s="1"/>
  <c r="R181" i="4" s="1"/>
  <c r="V167" i="17"/>
  <c r="V347" i="17"/>
  <c r="M365" i="4"/>
  <c r="M26" i="4" s="1"/>
  <c r="M68" i="4" s="1"/>
  <c r="M91" i="4" s="1"/>
  <c r="Q365" i="4"/>
  <c r="Q26" i="4" s="1"/>
  <c r="Q68" i="4" s="1"/>
  <c r="Q91" i="4" s="1"/>
  <c r="AH51" i="7"/>
  <c r="L51" i="7"/>
  <c r="AE51" i="7"/>
  <c r="H133" i="7"/>
  <c r="H146" i="7" s="1"/>
  <c r="AR832" i="7"/>
  <c r="AR222" i="7" s="1"/>
  <c r="AE191" i="7"/>
  <c r="BD97" i="7"/>
  <c r="M414" i="7"/>
  <c r="N411" i="7" s="1"/>
  <c r="N414" i="7" s="1"/>
  <c r="O411" i="7" s="1"/>
  <c r="O414" i="7" s="1"/>
  <c r="P411" i="7" s="1"/>
  <c r="P414" i="7" s="1"/>
  <c r="Q411" i="7" s="1"/>
  <c r="Q414" i="7" s="1"/>
  <c r="R411" i="7" s="1"/>
  <c r="R414" i="7" s="1"/>
  <c r="S411" i="7" s="1"/>
  <c r="S414" i="7" s="1"/>
  <c r="T411" i="7" s="1"/>
  <c r="T414" i="7" s="1"/>
  <c r="U411" i="7" s="1"/>
  <c r="U414" i="7" s="1"/>
  <c r="V411" i="7" s="1"/>
  <c r="V414" i="7" s="1"/>
  <c r="W411" i="7" s="1"/>
  <c r="W414" i="7" s="1"/>
  <c r="X411" i="7" s="1"/>
  <c r="X414" i="7" s="1"/>
  <c r="Y411" i="7" s="1"/>
  <c r="Y414" i="7" s="1"/>
  <c r="Z411" i="7" s="1"/>
  <c r="Z414" i="7" s="1"/>
  <c r="AA411" i="7" s="1"/>
  <c r="AA414" i="7" s="1"/>
  <c r="AB411" i="7" s="1"/>
  <c r="AB414" i="7" s="1"/>
  <c r="AC411" i="7" s="1"/>
  <c r="AC414" i="7" s="1"/>
  <c r="AD411" i="7" s="1"/>
  <c r="AD414" i="7" s="1"/>
  <c r="AE411" i="7" s="1"/>
  <c r="AE414" i="7" s="1"/>
  <c r="AF411" i="7" s="1"/>
  <c r="AF414" i="7" s="1"/>
  <c r="AG411" i="7" s="1"/>
  <c r="AG414" i="7" s="1"/>
  <c r="AH411" i="7" s="1"/>
  <c r="AH414" i="7" s="1"/>
  <c r="AI411" i="7" s="1"/>
  <c r="AI414" i="7" s="1"/>
  <c r="AJ411" i="7" s="1"/>
  <c r="AJ414" i="7" s="1"/>
  <c r="AK411" i="7" s="1"/>
  <c r="AK414" i="7" s="1"/>
  <c r="AL411" i="7" s="1"/>
  <c r="AL414" i="7" s="1"/>
  <c r="AM411" i="7" s="1"/>
  <c r="AM414" i="7" s="1"/>
  <c r="AN411" i="7" s="1"/>
  <c r="AN414" i="7" s="1"/>
  <c r="AO411" i="7" s="1"/>
  <c r="AO414" i="7" s="1"/>
  <c r="AP411" i="7" s="1"/>
  <c r="AP414" i="7" s="1"/>
  <c r="AQ411" i="7" s="1"/>
  <c r="AQ414" i="7" s="1"/>
  <c r="AR411" i="7" s="1"/>
  <c r="AR414" i="7" s="1"/>
  <c r="AS411" i="7" s="1"/>
  <c r="AS414" i="7" s="1"/>
  <c r="AT411" i="7" s="1"/>
  <c r="AT414" i="7" s="1"/>
  <c r="AU411" i="7" s="1"/>
  <c r="AU414" i="7" s="1"/>
  <c r="AV411" i="7" s="1"/>
  <c r="AV414" i="7" s="1"/>
  <c r="AW411" i="7" s="1"/>
  <c r="AW414" i="7" s="1"/>
  <c r="AX411" i="7" s="1"/>
  <c r="AX414" i="7" s="1"/>
  <c r="AY411" i="7" s="1"/>
  <c r="AY414" i="7" s="1"/>
  <c r="AZ411" i="7" s="1"/>
  <c r="AZ414" i="7" s="1"/>
  <c r="BA411" i="7" s="1"/>
  <c r="BA414" i="7" s="1"/>
  <c r="BB411" i="7" s="1"/>
  <c r="BB414" i="7" s="1"/>
  <c r="BC411" i="7" s="1"/>
  <c r="BC414" i="7" s="1"/>
  <c r="BD411" i="7" s="1"/>
  <c r="BD414" i="7" s="1"/>
  <c r="BE411" i="7" s="1"/>
  <c r="BE414" i="7" s="1"/>
  <c r="BD723" i="7"/>
  <c r="BE720" i="7" s="1"/>
  <c r="BE723" i="7" s="1"/>
  <c r="L285" i="7"/>
  <c r="AW191" i="7"/>
  <c r="O51" i="7"/>
  <c r="AA776" i="7"/>
  <c r="AA34" i="7" s="1"/>
  <c r="S776" i="7"/>
  <c r="S34" i="7" s="1"/>
  <c r="K776" i="7"/>
  <c r="K34" i="7" s="1"/>
  <c r="K52" i="7" s="1"/>
  <c r="AQ776" i="7"/>
  <c r="AQ34" i="7" s="1"/>
  <c r="AB776" i="7"/>
  <c r="AB34" i="7" s="1"/>
  <c r="Y239" i="7"/>
  <c r="AR191" i="7"/>
  <c r="AZ191" i="7"/>
  <c r="I589" i="7"/>
  <c r="J586" i="7" s="1"/>
  <c r="J589" i="7" s="1"/>
  <c r="K586" i="7" s="1"/>
  <c r="K589" i="7" s="1"/>
  <c r="L586" i="7" s="1"/>
  <c r="L589" i="7" s="1"/>
  <c r="M586" i="7" s="1"/>
  <c r="M589" i="7" s="1"/>
  <c r="N586" i="7" s="1"/>
  <c r="N589" i="7" s="1"/>
  <c r="O586" i="7" s="1"/>
  <c r="O589" i="7" s="1"/>
  <c r="P586" i="7" s="1"/>
  <c r="P589" i="7" s="1"/>
  <c r="Q586" i="7" s="1"/>
  <c r="Q589" i="7" s="1"/>
  <c r="R586" i="7" s="1"/>
  <c r="R589" i="7" s="1"/>
  <c r="S586" i="7" s="1"/>
  <c r="S589" i="7" s="1"/>
  <c r="T586" i="7" s="1"/>
  <c r="T589" i="7" s="1"/>
  <c r="U586" i="7" s="1"/>
  <c r="U589" i="7" s="1"/>
  <c r="V586" i="7" s="1"/>
  <c r="V589" i="7" s="1"/>
  <c r="W586" i="7" s="1"/>
  <c r="W589" i="7" s="1"/>
  <c r="X586" i="7" s="1"/>
  <c r="X589" i="7" s="1"/>
  <c r="Y586" i="7" s="1"/>
  <c r="Y589" i="7" s="1"/>
  <c r="Z586" i="7" s="1"/>
  <c r="Z589" i="7" s="1"/>
  <c r="AA586" i="7" s="1"/>
  <c r="AA589" i="7" s="1"/>
  <c r="AB586" i="7" s="1"/>
  <c r="AB589" i="7" s="1"/>
  <c r="AC586" i="7" s="1"/>
  <c r="AC589" i="7" s="1"/>
  <c r="AD586" i="7" s="1"/>
  <c r="AD589" i="7" s="1"/>
  <c r="AE586" i="7" s="1"/>
  <c r="AE589" i="7" s="1"/>
  <c r="AF586" i="7" s="1"/>
  <c r="AF589" i="7" s="1"/>
  <c r="AG586" i="7" s="1"/>
  <c r="AG589" i="7" s="1"/>
  <c r="AH586" i="7" s="1"/>
  <c r="AH589" i="7" s="1"/>
  <c r="AI586" i="7" s="1"/>
  <c r="AI589" i="7" s="1"/>
  <c r="AJ586" i="7" s="1"/>
  <c r="AJ589" i="7" s="1"/>
  <c r="AK586" i="7" s="1"/>
  <c r="AK589" i="7" s="1"/>
  <c r="AL586" i="7" s="1"/>
  <c r="AL589" i="7" s="1"/>
  <c r="AM586" i="7" s="1"/>
  <c r="AM589" i="7" s="1"/>
  <c r="AN586" i="7" s="1"/>
  <c r="AN589" i="7" s="1"/>
  <c r="AO586" i="7" s="1"/>
  <c r="AO589" i="7" s="1"/>
  <c r="AP586" i="7" s="1"/>
  <c r="AP589" i="7" s="1"/>
  <c r="AQ586" i="7" s="1"/>
  <c r="AQ589" i="7" s="1"/>
  <c r="AR586" i="7" s="1"/>
  <c r="AR589" i="7" s="1"/>
  <c r="AS586" i="7" s="1"/>
  <c r="AS589" i="7" s="1"/>
  <c r="AT586" i="7" s="1"/>
  <c r="AT589" i="7" s="1"/>
  <c r="AU586" i="7" s="1"/>
  <c r="AU589" i="7" s="1"/>
  <c r="AV586" i="7" s="1"/>
  <c r="AV589" i="7" s="1"/>
  <c r="AW586" i="7" s="1"/>
  <c r="AW589" i="7" s="1"/>
  <c r="AX586" i="7" s="1"/>
  <c r="AX589" i="7" s="1"/>
  <c r="AY586" i="7" s="1"/>
  <c r="AY589" i="7" s="1"/>
  <c r="AZ586" i="7" s="1"/>
  <c r="AZ589" i="7" s="1"/>
  <c r="BA586" i="7" s="1"/>
  <c r="BA589" i="7" s="1"/>
  <c r="BB586" i="7" s="1"/>
  <c r="BB589" i="7" s="1"/>
  <c r="BC586" i="7" s="1"/>
  <c r="BC589" i="7" s="1"/>
  <c r="BD586" i="7" s="1"/>
  <c r="BD589" i="7" s="1"/>
  <c r="BE586" i="7" s="1"/>
  <c r="BE589" i="7" s="1"/>
  <c r="BE191" i="7"/>
  <c r="K240" i="7"/>
  <c r="K241" i="7" s="1"/>
  <c r="I145" i="7"/>
  <c r="AI832" i="7"/>
  <c r="AI222" i="7" s="1"/>
  <c r="AF804" i="7"/>
  <c r="AF128" i="7" s="1"/>
  <c r="N804" i="7"/>
  <c r="N128" i="7" s="1"/>
  <c r="AC818" i="7"/>
  <c r="AC174" i="7" s="1"/>
  <c r="L191" i="7"/>
  <c r="AV191" i="7"/>
  <c r="O818" i="7"/>
  <c r="O174" i="7" s="1"/>
  <c r="BB51" i="7"/>
  <c r="R429" i="7"/>
  <c r="R97" i="7" s="1"/>
  <c r="U429" i="7"/>
  <c r="U97" i="7" s="1"/>
  <c r="X191" i="7"/>
  <c r="BD239" i="7"/>
  <c r="K239" i="7"/>
  <c r="O239" i="7"/>
  <c r="AV285" i="7"/>
  <c r="S285" i="7"/>
  <c r="T285" i="7"/>
  <c r="AN285" i="7"/>
  <c r="AA429" i="7"/>
  <c r="AA97" i="7" s="1"/>
  <c r="N429" i="7"/>
  <c r="S429" i="7"/>
  <c r="W429" i="7"/>
  <c r="W97" i="7" s="1"/>
  <c r="AZ145" i="7"/>
  <c r="K285" i="7"/>
  <c r="Q776" i="7"/>
  <c r="Q34" i="7" s="1"/>
  <c r="M338" i="7"/>
  <c r="N335" i="7" s="1"/>
  <c r="AU51" i="7"/>
  <c r="AO285" i="7"/>
  <c r="H239" i="7"/>
  <c r="AX97" i="7"/>
  <c r="X818" i="7"/>
  <c r="X174" i="7" s="1"/>
  <c r="BD846" i="7"/>
  <c r="BD268" i="7" s="1"/>
  <c r="BC145" i="7"/>
  <c r="AD145" i="7"/>
  <c r="L239" i="7"/>
  <c r="AO191" i="7"/>
  <c r="Z832" i="7"/>
  <c r="Z222" i="7" s="1"/>
  <c r="H832" i="7"/>
  <c r="H222" i="7" s="1"/>
  <c r="H240" i="7" s="1"/>
  <c r="H241" i="7" s="1"/>
  <c r="W832" i="7"/>
  <c r="W222" i="7" s="1"/>
  <c r="AD818" i="7"/>
  <c r="AD174" i="7" s="1"/>
  <c r="J285" i="7"/>
  <c r="K429" i="7"/>
  <c r="K97" i="7" s="1"/>
  <c r="BC804" i="7"/>
  <c r="BC128" i="7" s="1"/>
  <c r="AF191" i="7"/>
  <c r="AQ51" i="7"/>
  <c r="M429" i="7"/>
  <c r="N97" i="7"/>
  <c r="O429" i="7"/>
  <c r="O97" i="7" s="1"/>
  <c r="BA97" i="7"/>
  <c r="Y191" i="7"/>
  <c r="AN239" i="7"/>
  <c r="M239" i="7"/>
  <c r="AH285" i="7"/>
  <c r="Z285" i="7"/>
  <c r="I240" i="7"/>
  <c r="I241" i="7" s="1"/>
  <c r="I192" i="7"/>
  <c r="I120" i="17"/>
  <c r="I164" i="17" s="1"/>
  <c r="W326" i="17"/>
  <c r="K120" i="17"/>
  <c r="K164" i="17" s="1"/>
  <c r="N326" i="17"/>
  <c r="V36" i="8"/>
  <c r="G136" i="4" s="1"/>
  <c r="G138" i="4" s="1"/>
  <c r="O120" i="17"/>
  <c r="O164" i="17" s="1"/>
  <c r="U326" i="17"/>
  <c r="Z326" i="17"/>
  <c r="S326" i="17"/>
  <c r="H311" i="4"/>
  <c r="I308" i="4" s="1"/>
  <c r="I130" i="4"/>
  <c r="P166" i="4"/>
  <c r="AA166" i="4"/>
  <c r="N166" i="4"/>
  <c r="V284" i="17"/>
  <c r="Q305" i="4"/>
  <c r="X305" i="4"/>
  <c r="L305" i="4"/>
  <c r="K305" i="4"/>
  <c r="N141" i="1"/>
  <c r="P68" i="18" s="1"/>
  <c r="AA305" i="4"/>
  <c r="I305" i="4"/>
  <c r="W305" i="4"/>
  <c r="K119" i="4"/>
  <c r="K163" i="4" s="1"/>
  <c r="J305" i="4"/>
  <c r="W166" i="4"/>
  <c r="Y92" i="8"/>
  <c r="S41" i="18" s="1"/>
  <c r="S305" i="4"/>
  <c r="I311" i="4"/>
  <c r="J308" i="4" s="1"/>
  <c r="J311" i="4" s="1"/>
  <c r="K308" i="4" s="1"/>
  <c r="K311" i="4" s="1"/>
  <c r="L308" i="4" s="1"/>
  <c r="L311" i="4" s="1"/>
  <c r="M308" i="4" s="1"/>
  <c r="M311" i="4" s="1"/>
  <c r="N308" i="4" s="1"/>
  <c r="N311" i="4" s="1"/>
  <c r="O308" i="4" s="1"/>
  <c r="O311" i="4" s="1"/>
  <c r="P308" i="4" s="1"/>
  <c r="P311" i="4" s="1"/>
  <c r="Q308" i="4" s="1"/>
  <c r="Q311" i="4" s="1"/>
  <c r="R308" i="4" s="1"/>
  <c r="R311" i="4" s="1"/>
  <c r="S308" i="4" s="1"/>
  <c r="S311" i="4" s="1"/>
  <c r="T308" i="4" s="1"/>
  <c r="T311" i="4" s="1"/>
  <c r="U308" i="4" s="1"/>
  <c r="AA185" i="17"/>
  <c r="H305" i="4"/>
  <c r="Q250" i="17"/>
  <c r="N95" i="4"/>
  <c r="Z95" i="4"/>
  <c r="P32" i="18"/>
  <c r="V92" i="8"/>
  <c r="H379" i="17"/>
  <c r="H116" i="17" s="1"/>
  <c r="H158" i="17" s="1"/>
  <c r="H181" i="17" s="1"/>
  <c r="O229" i="17"/>
  <c r="N284" i="17"/>
  <c r="AA284" i="17"/>
  <c r="T130" i="17"/>
  <c r="Q166" i="17"/>
  <c r="H122" i="17"/>
  <c r="H166" i="17" s="1"/>
  <c r="U229" i="17"/>
  <c r="K30" i="17"/>
  <c r="K74" i="17" s="1"/>
  <c r="S250" i="17"/>
  <c r="K365" i="17"/>
  <c r="K26" i="17" s="1"/>
  <c r="K68" i="17" s="1"/>
  <c r="K91" i="17" s="1"/>
  <c r="K379" i="17"/>
  <c r="K116" i="17" s="1"/>
  <c r="K158" i="17" s="1"/>
  <c r="K181" i="17" s="1"/>
  <c r="S365" i="17"/>
  <c r="S26" i="17" s="1"/>
  <c r="S68" i="17" s="1"/>
  <c r="S91" i="17" s="1"/>
  <c r="W229" i="17"/>
  <c r="N85" i="1"/>
  <c r="N83" i="1" s="1"/>
  <c r="G86" i="17"/>
  <c r="G87" i="17" s="1"/>
  <c r="G97" i="17" s="1"/>
  <c r="L85" i="1"/>
  <c r="G85" i="17"/>
  <c r="W379" i="17"/>
  <c r="W116" i="17" s="1"/>
  <c r="W158" i="17" s="1"/>
  <c r="W181" i="17" s="1"/>
  <c r="V365" i="17"/>
  <c r="V26" i="17" s="1"/>
  <c r="V68" i="17" s="1"/>
  <c r="V91" i="17" s="1"/>
  <c r="L83" i="1"/>
  <c r="I250" i="17"/>
  <c r="U208" i="4"/>
  <c r="Q250" i="4"/>
  <c r="H76" i="17"/>
  <c r="I28" i="4"/>
  <c r="I72" i="4" s="1"/>
  <c r="R29" i="17"/>
  <c r="R73" i="17" s="1"/>
  <c r="R229" i="17"/>
  <c r="W250" i="4"/>
  <c r="L76" i="4"/>
  <c r="W76" i="4"/>
  <c r="AA28" i="4"/>
  <c r="AA72" i="4" s="1"/>
  <c r="AA229" i="17"/>
  <c r="R250" i="17"/>
  <c r="V229" i="17"/>
  <c r="H256" i="17"/>
  <c r="I253" i="17" s="1"/>
  <c r="I256" i="17" s="1"/>
  <c r="J253" i="17" s="1"/>
  <c r="J256" i="17" s="1"/>
  <c r="K253" i="17" s="1"/>
  <c r="K256" i="17" s="1"/>
  <c r="L253" i="17" s="1"/>
  <c r="L256" i="17" s="1"/>
  <c r="M253" i="17" s="1"/>
  <c r="M256" i="17" s="1"/>
  <c r="N253" i="17" s="1"/>
  <c r="N256" i="17" s="1"/>
  <c r="O253" i="17" s="1"/>
  <c r="O256" i="17" s="1"/>
  <c r="P253" i="17" s="1"/>
  <c r="P256" i="17" s="1"/>
  <c r="Q253" i="17" s="1"/>
  <c r="Q256" i="17" s="1"/>
  <c r="R253" i="17" s="1"/>
  <c r="R256" i="17" s="1"/>
  <c r="S253" i="17" s="1"/>
  <c r="S256" i="17" s="1"/>
  <c r="T253" i="17" s="1"/>
  <c r="T256" i="17" s="1"/>
  <c r="U253" i="17" s="1"/>
  <c r="U256" i="17" s="1"/>
  <c r="V253" i="17" s="1"/>
  <c r="V256" i="17" s="1"/>
  <c r="W253" i="17" s="1"/>
  <c r="W256" i="17" s="1"/>
  <c r="X253" i="17" s="1"/>
  <c r="X256" i="17" s="1"/>
  <c r="Y253" i="17" s="1"/>
  <c r="Y256" i="17" s="1"/>
  <c r="Z253" i="17" s="1"/>
  <c r="Z256" i="17" s="1"/>
  <c r="AA253" i="17" s="1"/>
  <c r="AA256" i="17" s="1"/>
  <c r="AA250" i="4"/>
  <c r="M250" i="17"/>
  <c r="Y95" i="17"/>
  <c r="W28" i="4"/>
  <c r="W72" i="4" s="1"/>
  <c r="P208" i="4"/>
  <c r="X76" i="4"/>
  <c r="L229" i="17"/>
  <c r="U95" i="4"/>
  <c r="O250" i="4"/>
  <c r="X250" i="4"/>
  <c r="J250" i="4"/>
  <c r="M250" i="4"/>
  <c r="T250" i="4"/>
  <c r="T95" i="17"/>
  <c r="W250" i="17"/>
  <c r="R95" i="17"/>
  <c r="P250" i="4"/>
  <c r="I256" i="4"/>
  <c r="J253" i="4" s="1"/>
  <c r="J256" i="4" s="1"/>
  <c r="K253" i="4" s="1"/>
  <c r="K256" i="4" s="1"/>
  <c r="L253" i="4" s="1"/>
  <c r="L256" i="4" s="1"/>
  <c r="M253" i="4" s="1"/>
  <c r="M256" i="4" s="1"/>
  <c r="N253" i="4" s="1"/>
  <c r="N256" i="4" s="1"/>
  <c r="O253" i="4" s="1"/>
  <c r="O256" i="4" s="1"/>
  <c r="P253" i="4" s="1"/>
  <c r="P256" i="4" s="1"/>
  <c r="Q253" i="4" s="1"/>
  <c r="Q256" i="4" s="1"/>
  <c r="R253" i="4" s="1"/>
  <c r="R256" i="4" s="1"/>
  <c r="S253" i="4" s="1"/>
  <c r="S256" i="4" s="1"/>
  <c r="T253" i="4" s="1"/>
  <c r="T256" i="4" s="1"/>
  <c r="U253" i="4" s="1"/>
  <c r="U256" i="4" s="1"/>
  <c r="V253" i="4" s="1"/>
  <c r="V256" i="4" s="1"/>
  <c r="W253" i="4" s="1"/>
  <c r="W256" i="4" s="1"/>
  <c r="X253" i="4" s="1"/>
  <c r="X256" i="4" s="1"/>
  <c r="Y253" i="4" s="1"/>
  <c r="Y256" i="4" s="1"/>
  <c r="Z253" i="4" s="1"/>
  <c r="Z256" i="4" s="1"/>
  <c r="AA253" i="4" s="1"/>
  <c r="AA256" i="4" s="1"/>
  <c r="N250" i="4"/>
  <c r="J250" i="17"/>
  <c r="U250" i="4"/>
  <c r="V326" i="4"/>
  <c r="L250" i="4"/>
  <c r="V40" i="4"/>
  <c r="V76" i="4"/>
  <c r="N76" i="4"/>
  <c r="N40" i="4"/>
  <c r="N29" i="17"/>
  <c r="N73" i="17" s="1"/>
  <c r="N229" i="17"/>
  <c r="W33" i="4"/>
  <c r="W271" i="4"/>
  <c r="AA33" i="4"/>
  <c r="AA271" i="4"/>
  <c r="S123" i="4"/>
  <c r="S347" i="4"/>
  <c r="O123" i="4"/>
  <c r="O347" i="4"/>
  <c r="Z123" i="4"/>
  <c r="Z347" i="4"/>
  <c r="X118" i="17"/>
  <c r="X162" i="17" s="1"/>
  <c r="X284" i="17"/>
  <c r="J130" i="17"/>
  <c r="J166" i="17"/>
  <c r="X130" i="17"/>
  <c r="X166" i="17"/>
  <c r="L77" i="17"/>
  <c r="X208" i="4"/>
  <c r="M347" i="17"/>
  <c r="P28" i="4"/>
  <c r="P72" i="4" s="1"/>
  <c r="I119" i="4"/>
  <c r="I163" i="4" s="1"/>
  <c r="H123" i="4"/>
  <c r="H167" i="4" s="1"/>
  <c r="S208" i="4"/>
  <c r="T118" i="17"/>
  <c r="T162" i="17" s="1"/>
  <c r="K229" i="17"/>
  <c r="O130" i="4"/>
  <c r="O166" i="4"/>
  <c r="T40" i="4"/>
  <c r="T76" i="4"/>
  <c r="J40" i="4"/>
  <c r="J76" i="4"/>
  <c r="Y123" i="17"/>
  <c r="Y347" i="17"/>
  <c r="N347" i="17"/>
  <c r="N123" i="17"/>
  <c r="P234" i="17"/>
  <c r="P229" i="17"/>
  <c r="S33" i="4"/>
  <c r="S271" i="4"/>
  <c r="I33" i="4"/>
  <c r="I271" i="4"/>
  <c r="M123" i="4"/>
  <c r="M347" i="4"/>
  <c r="T123" i="4"/>
  <c r="T347" i="4"/>
  <c r="U118" i="17"/>
  <c r="U162" i="17" s="1"/>
  <c r="U284" i="17"/>
  <c r="R130" i="17"/>
  <c r="R166" i="17"/>
  <c r="K130" i="17"/>
  <c r="K166" i="17"/>
  <c r="M130" i="17"/>
  <c r="M166" i="17"/>
  <c r="R28" i="4"/>
  <c r="R72" i="4" s="1"/>
  <c r="R208" i="4"/>
  <c r="V250" i="17"/>
  <c r="S250" i="4"/>
  <c r="N250" i="17"/>
  <c r="O250" i="17"/>
  <c r="S95" i="17"/>
  <c r="U250" i="17"/>
  <c r="P30" i="4"/>
  <c r="P74" i="4" s="1"/>
  <c r="Z250" i="17"/>
  <c r="H250" i="4"/>
  <c r="T305" i="4"/>
  <c r="T208" i="4"/>
  <c r="H208" i="4"/>
  <c r="S166" i="4"/>
  <c r="X379" i="4"/>
  <c r="X116" i="4" s="1"/>
  <c r="X158" i="4" s="1"/>
  <c r="X181" i="4" s="1"/>
  <c r="Q379" i="4"/>
  <c r="Q116" i="4" s="1"/>
  <c r="Q158" i="4" s="1"/>
  <c r="Q181" i="4" s="1"/>
  <c r="H123" i="17"/>
  <c r="H167" i="17" s="1"/>
  <c r="W119" i="4"/>
  <c r="W163" i="4" s="1"/>
  <c r="I379" i="4"/>
  <c r="I116" i="4" s="1"/>
  <c r="I158" i="4" s="1"/>
  <c r="I181" i="4" s="1"/>
  <c r="U167" i="17"/>
  <c r="X271" i="4"/>
  <c r="M30" i="4"/>
  <c r="M74" i="4" s="1"/>
  <c r="V365" i="4"/>
  <c r="V26" i="4" s="1"/>
  <c r="V68" i="4" s="1"/>
  <c r="V91" i="4" s="1"/>
  <c r="Z250" i="4"/>
  <c r="L250" i="17"/>
  <c r="I250" i="4"/>
  <c r="V130" i="4"/>
  <c r="V166" i="4"/>
  <c r="R123" i="17"/>
  <c r="R347" i="17"/>
  <c r="I40" i="4"/>
  <c r="I76" i="4"/>
  <c r="Y250" i="4"/>
  <c r="U33" i="17"/>
  <c r="U271" i="17"/>
  <c r="Z305" i="4"/>
  <c r="Z310" i="4"/>
  <c r="M305" i="4"/>
  <c r="L123" i="17"/>
  <c r="L347" i="17"/>
  <c r="Y33" i="4"/>
  <c r="Y271" i="4"/>
  <c r="U33" i="4"/>
  <c r="U271" i="4"/>
  <c r="J365" i="4"/>
  <c r="J26" i="4" s="1"/>
  <c r="J68" i="4" s="1"/>
  <c r="J91" i="4" s="1"/>
  <c r="AA365" i="4"/>
  <c r="AA26" i="4" s="1"/>
  <c r="AA68" i="4" s="1"/>
  <c r="AA91" i="4" s="1"/>
  <c r="Y123" i="4"/>
  <c r="Y347" i="4"/>
  <c r="P123" i="4"/>
  <c r="P347" i="4"/>
  <c r="W284" i="17"/>
  <c r="W289" i="17"/>
  <c r="M118" i="17"/>
  <c r="M162" i="17" s="1"/>
  <c r="M284" i="17"/>
  <c r="H284" i="17"/>
  <c r="H289" i="17"/>
  <c r="H290" i="17" s="1"/>
  <c r="I287" i="17" s="1"/>
  <c r="I290" i="17" s="1"/>
  <c r="J287" i="17" s="1"/>
  <c r="J290" i="17" s="1"/>
  <c r="K287" i="17" s="1"/>
  <c r="K290" i="17" s="1"/>
  <c r="L287" i="17" s="1"/>
  <c r="S284" i="17"/>
  <c r="S289" i="17"/>
  <c r="O118" i="17"/>
  <c r="O162" i="17" s="1"/>
  <c r="Z130" i="17"/>
  <c r="Z166" i="17"/>
  <c r="W130" i="17"/>
  <c r="W166" i="17"/>
  <c r="N130" i="17"/>
  <c r="N166" i="17"/>
  <c r="K365" i="4"/>
  <c r="K26" i="4" s="1"/>
  <c r="K68" i="4" s="1"/>
  <c r="K91" i="4" s="1"/>
  <c r="M365" i="17"/>
  <c r="M26" i="17" s="1"/>
  <c r="M68" i="17" s="1"/>
  <c r="M91" i="17" s="1"/>
  <c r="L130" i="4"/>
  <c r="L166" i="4"/>
  <c r="H40" i="4"/>
  <c r="H76" i="4"/>
  <c r="U305" i="4"/>
  <c r="U310" i="4"/>
  <c r="T347" i="17"/>
  <c r="T123" i="17"/>
  <c r="K33" i="4"/>
  <c r="K271" i="4"/>
  <c r="Y365" i="4"/>
  <c r="Y26" i="4" s="1"/>
  <c r="Y68" i="4" s="1"/>
  <c r="Y91" i="4" s="1"/>
  <c r="Q118" i="17"/>
  <c r="Q162" i="17" s="1"/>
  <c r="J118" i="17"/>
  <c r="J162" i="17" s="1"/>
  <c r="S130" i="17"/>
  <c r="S166" i="17"/>
  <c r="Z229" i="17"/>
  <c r="R250" i="4"/>
  <c r="Y284" i="17"/>
  <c r="S229" i="17"/>
  <c r="W33" i="17"/>
  <c r="L136" i="1"/>
  <c r="N63" i="18" s="1"/>
  <c r="R119" i="4"/>
  <c r="R163" i="4" s="1"/>
  <c r="R305" i="4"/>
  <c r="Y305" i="4"/>
  <c r="Y310" i="4"/>
  <c r="H122" i="4"/>
  <c r="X123" i="4"/>
  <c r="X347" i="4"/>
  <c r="U123" i="4"/>
  <c r="U347" i="4"/>
  <c r="P118" i="17"/>
  <c r="P162" i="17" s="1"/>
  <c r="P284" i="17"/>
  <c r="I130" i="17"/>
  <c r="I166" i="17"/>
  <c r="O130" i="17"/>
  <c r="O166" i="17"/>
  <c r="V305" i="4"/>
  <c r="Z365" i="17"/>
  <c r="Z26" i="17" s="1"/>
  <c r="Z68" i="17" s="1"/>
  <c r="Z91" i="17" s="1"/>
  <c r="Y365" i="17"/>
  <c r="Y26" i="17" s="1"/>
  <c r="Y68" i="17" s="1"/>
  <c r="Y91" i="17" s="1"/>
  <c r="J208" i="4"/>
  <c r="Y229" i="17"/>
  <c r="L95" i="4"/>
  <c r="X250" i="17"/>
  <c r="P185" i="17"/>
  <c r="H250" i="17"/>
  <c r="P305" i="4"/>
  <c r="L208" i="4"/>
  <c r="V120" i="4"/>
  <c r="V164" i="4" s="1"/>
  <c r="Y130" i="4"/>
  <c r="P379" i="4"/>
  <c r="P116" i="4" s="1"/>
  <c r="P158" i="4" s="1"/>
  <c r="P181" i="4" s="1"/>
  <c r="N379" i="4"/>
  <c r="N116" i="4" s="1"/>
  <c r="N158" i="4" s="1"/>
  <c r="N181" i="4" s="1"/>
  <c r="O305" i="4"/>
  <c r="N30" i="4"/>
  <c r="N74" i="4" s="1"/>
  <c r="M130" i="4"/>
  <c r="M166" i="4"/>
  <c r="X130" i="4"/>
  <c r="X166" i="4"/>
  <c r="O40" i="4"/>
  <c r="O76" i="4"/>
  <c r="N305" i="4"/>
  <c r="W123" i="17"/>
  <c r="W347" i="17"/>
  <c r="I123" i="17"/>
  <c r="I347" i="17"/>
  <c r="T29" i="17"/>
  <c r="T73" i="17" s="1"/>
  <c r="T229" i="17"/>
  <c r="Q131" i="17"/>
  <c r="Q167" i="17"/>
  <c r="J131" i="4"/>
  <c r="J167" i="4"/>
  <c r="M33" i="4"/>
  <c r="M271" i="4"/>
  <c r="Q33" i="4"/>
  <c r="Q271" i="4"/>
  <c r="U365" i="4"/>
  <c r="U26" i="4" s="1"/>
  <c r="U68" i="4" s="1"/>
  <c r="U91" i="4" s="1"/>
  <c r="V123" i="4"/>
  <c r="V347" i="4"/>
  <c r="N123" i="4"/>
  <c r="N347" i="4"/>
  <c r="R118" i="17"/>
  <c r="R162" i="17" s="1"/>
  <c r="L289" i="17"/>
  <c r="Y185" i="17"/>
  <c r="V130" i="17"/>
  <c r="V166" i="17"/>
  <c r="P130" i="17"/>
  <c r="P166" i="17"/>
  <c r="U130" i="17"/>
  <c r="U166" i="17"/>
  <c r="Y130" i="17"/>
  <c r="Y166" i="17"/>
  <c r="K284" i="17"/>
  <c r="H365" i="17"/>
  <c r="H26" i="17" s="1"/>
  <c r="H68" i="17" s="1"/>
  <c r="H91" i="17" s="1"/>
  <c r="U326" i="4"/>
  <c r="AA30" i="17"/>
  <c r="AA74" i="17" s="1"/>
  <c r="AA250" i="17"/>
  <c r="K250" i="4"/>
  <c r="P250" i="17"/>
  <c r="R30" i="17"/>
  <c r="R74" i="17" s="1"/>
  <c r="S68" i="4"/>
  <c r="S91" i="4" s="1"/>
  <c r="S43" i="4"/>
  <c r="G48" i="4"/>
  <c r="H58" i="17"/>
  <c r="G48" i="17"/>
  <c r="H131" i="4"/>
  <c r="X310" i="17"/>
  <c r="X185" i="17"/>
  <c r="S119" i="17"/>
  <c r="S163" i="17" s="1"/>
  <c r="S305" i="17"/>
  <c r="U305" i="17"/>
  <c r="U119" i="17"/>
  <c r="U163" i="17" s="1"/>
  <c r="O119" i="17"/>
  <c r="O163" i="17" s="1"/>
  <c r="O305" i="17"/>
  <c r="I229" i="17"/>
  <c r="L131" i="4"/>
  <c r="L167" i="4"/>
  <c r="W326" i="4"/>
  <c r="L379" i="4"/>
  <c r="L116" i="4" s="1"/>
  <c r="AA119" i="17"/>
  <c r="AA163" i="17" s="1"/>
  <c r="AA305" i="17"/>
  <c r="R305" i="17"/>
  <c r="R119" i="17"/>
  <c r="R163" i="17" s="1"/>
  <c r="N310" i="17"/>
  <c r="R310" i="17"/>
  <c r="R185" i="17"/>
  <c r="M310" i="17"/>
  <c r="I185" i="17"/>
  <c r="Y331" i="4"/>
  <c r="Y185" i="4"/>
  <c r="J131" i="17"/>
  <c r="J167" i="17"/>
  <c r="Z310" i="17"/>
  <c r="Z185" i="17"/>
  <c r="Z119" i="17"/>
  <c r="Z305" i="17"/>
  <c r="V185" i="17"/>
  <c r="V310" i="17"/>
  <c r="Q305" i="17"/>
  <c r="Q119" i="17"/>
  <c r="Q163" i="17" s="1"/>
  <c r="W119" i="17"/>
  <c r="W305" i="17"/>
  <c r="K305" i="17"/>
  <c r="K119" i="17"/>
  <c r="I119" i="17"/>
  <c r="I163" i="17" s="1"/>
  <c r="I305" i="17"/>
  <c r="Q310" i="17"/>
  <c r="Q185" i="17"/>
  <c r="L119" i="17"/>
  <c r="L305" i="17"/>
  <c r="K131" i="17"/>
  <c r="K167" i="17"/>
  <c r="L157" i="1"/>
  <c r="N84" i="18" s="1"/>
  <c r="J11" i="16"/>
  <c r="N157" i="1"/>
  <c r="Y326" i="4"/>
  <c r="L310" i="17"/>
  <c r="S310" i="17"/>
  <c r="S185" i="17"/>
  <c r="J119" i="17"/>
  <c r="J163" i="17" s="1"/>
  <c r="J305" i="17"/>
  <c r="W310" i="17"/>
  <c r="W185" i="17"/>
  <c r="X119" i="17"/>
  <c r="X305" i="17"/>
  <c r="J310" i="17"/>
  <c r="J185" i="17"/>
  <c r="H119" i="17"/>
  <c r="H163" i="17" s="1"/>
  <c r="H305" i="17"/>
  <c r="W41" i="17"/>
  <c r="W77" i="17"/>
  <c r="O131" i="17"/>
  <c r="O167" i="17"/>
  <c r="X41" i="4"/>
  <c r="I235" i="17"/>
  <c r="J232" i="17" s="1"/>
  <c r="T326" i="4"/>
  <c r="T120" i="4"/>
  <c r="T164" i="4" s="1"/>
  <c r="K131" i="4"/>
  <c r="K167" i="4"/>
  <c r="T310" i="17"/>
  <c r="T185" i="17"/>
  <c r="Y119" i="17"/>
  <c r="Y163" i="17" s="1"/>
  <c r="Y305" i="17"/>
  <c r="U310" i="17"/>
  <c r="P305" i="17"/>
  <c r="P119" i="17"/>
  <c r="V305" i="17"/>
  <c r="V119" i="17"/>
  <c r="V163" i="17" s="1"/>
  <c r="O310" i="17"/>
  <c r="O185" i="17"/>
  <c r="H310" i="17"/>
  <c r="H311" i="17" s="1"/>
  <c r="I308" i="17" s="1"/>
  <c r="I311" i="17" s="1"/>
  <c r="J308" i="17" s="1"/>
  <c r="K185" i="17"/>
  <c r="K310" i="17"/>
  <c r="W158" i="4"/>
  <c r="W181" i="4" s="1"/>
  <c r="S158" i="4"/>
  <c r="S181" i="4" s="1"/>
  <c r="K158" i="4"/>
  <c r="K181" i="4" s="1"/>
  <c r="AA158" i="4"/>
  <c r="AA181" i="4" s="1"/>
  <c r="K208" i="4"/>
  <c r="H284" i="4"/>
  <c r="H118" i="4"/>
  <c r="H162" i="4" s="1"/>
  <c r="R289" i="4"/>
  <c r="W284" i="4"/>
  <c r="W118" i="4"/>
  <c r="W162" i="4" s="1"/>
  <c r="O284" i="4"/>
  <c r="O118" i="4"/>
  <c r="O162" i="4" s="1"/>
  <c r="I284" i="4"/>
  <c r="I118" i="4"/>
  <c r="I162" i="4" s="1"/>
  <c r="W289" i="4"/>
  <c r="W185" i="4"/>
  <c r="O289" i="4"/>
  <c r="I289" i="4"/>
  <c r="N28" i="4"/>
  <c r="N72" i="4" s="1"/>
  <c r="N208" i="4"/>
  <c r="AA167" i="17"/>
  <c r="N289" i="4"/>
  <c r="Y284" i="4"/>
  <c r="Y118" i="4"/>
  <c r="Q289" i="4"/>
  <c r="T185" i="4"/>
  <c r="T289" i="4"/>
  <c r="H289" i="4"/>
  <c r="H290" i="4" s="1"/>
  <c r="I287" i="4" s="1"/>
  <c r="V118" i="4"/>
  <c r="V162" i="4" s="1"/>
  <c r="V284" i="4"/>
  <c r="N118" i="4"/>
  <c r="N162" i="4" s="1"/>
  <c r="N284" i="4"/>
  <c r="Z185" i="4"/>
  <c r="O208" i="4"/>
  <c r="O28" i="4"/>
  <c r="M131" i="17"/>
  <c r="M167" i="17"/>
  <c r="K41" i="17"/>
  <c r="K77" i="17"/>
  <c r="L284" i="4"/>
  <c r="X284" i="4"/>
  <c r="X118" i="4"/>
  <c r="Q284" i="4"/>
  <c r="Q118" i="4"/>
  <c r="Q162" i="4" s="1"/>
  <c r="U284" i="4"/>
  <c r="U118" i="4"/>
  <c r="AA284" i="4"/>
  <c r="AA118" i="4"/>
  <c r="AA162" i="4" s="1"/>
  <c r="S284" i="4"/>
  <c r="S118" i="4"/>
  <c r="S162" i="4" s="1"/>
  <c r="K118" i="4"/>
  <c r="K162" i="4" s="1"/>
  <c r="K284" i="4"/>
  <c r="AA289" i="4"/>
  <c r="AA185" i="4"/>
  <c r="S289" i="4"/>
  <c r="K289" i="4"/>
  <c r="X131" i="17"/>
  <c r="X167" i="17"/>
  <c r="Q131" i="4"/>
  <c r="Q167" i="4"/>
  <c r="O41" i="17"/>
  <c r="O77" i="17"/>
  <c r="P284" i="4"/>
  <c r="P118" i="4"/>
  <c r="T284" i="4"/>
  <c r="T118" i="4"/>
  <c r="X289" i="4"/>
  <c r="X185" i="4"/>
  <c r="J284" i="4"/>
  <c r="J118" i="4"/>
  <c r="J162" i="4" s="1"/>
  <c r="Z118" i="4"/>
  <c r="Z162" i="4" s="1"/>
  <c r="Z284" i="4"/>
  <c r="R118" i="4"/>
  <c r="R162" i="4" s="1"/>
  <c r="R284" i="4"/>
  <c r="J289" i="4"/>
  <c r="H164" i="17"/>
  <c r="Q164" i="17"/>
  <c r="J164" i="17"/>
  <c r="V164" i="17"/>
  <c r="U92" i="8"/>
  <c r="O26" i="18"/>
  <c r="U164" i="17"/>
  <c r="W234" i="4"/>
  <c r="W95" i="4"/>
  <c r="H29" i="17"/>
  <c r="H73" i="17" s="1"/>
  <c r="H229" i="17"/>
  <c r="K229" i="4"/>
  <c r="Q95" i="4"/>
  <c r="Q29" i="4"/>
  <c r="Q229" i="4"/>
  <c r="Z29" i="4"/>
  <c r="Z73" i="4" s="1"/>
  <c r="R229" i="4"/>
  <c r="R29" i="4"/>
  <c r="R73" i="4" s="1"/>
  <c r="J29" i="4"/>
  <c r="J73" i="4" s="1"/>
  <c r="AA208" i="17"/>
  <c r="AA28" i="17"/>
  <c r="P213" i="17"/>
  <c r="P95" i="17"/>
  <c r="R28" i="17"/>
  <c r="R208" i="17"/>
  <c r="AA213" i="17"/>
  <c r="AA95" i="17"/>
  <c r="V213" i="17"/>
  <c r="V95" i="17"/>
  <c r="T208" i="17"/>
  <c r="T42" i="17" s="1"/>
  <c r="T28" i="17"/>
  <c r="O213" i="17"/>
  <c r="O95" i="17"/>
  <c r="L213" i="17"/>
  <c r="L95" i="17"/>
  <c r="H39" i="17"/>
  <c r="H75" i="17"/>
  <c r="T234" i="4"/>
  <c r="T95" i="4"/>
  <c r="M29" i="4"/>
  <c r="O95" i="4"/>
  <c r="O234" i="4"/>
  <c r="H229" i="4"/>
  <c r="H29" i="4"/>
  <c r="H73" i="4" s="1"/>
  <c r="X208" i="17"/>
  <c r="X28" i="17"/>
  <c r="O208" i="17"/>
  <c r="O28" i="17"/>
  <c r="Y208" i="17"/>
  <c r="Y28" i="17"/>
  <c r="J213" i="17"/>
  <c r="J95" i="17"/>
  <c r="Z28" i="17"/>
  <c r="Z72" i="17" s="1"/>
  <c r="Z208" i="17"/>
  <c r="U28" i="17"/>
  <c r="U208" i="17"/>
  <c r="S208" i="17"/>
  <c r="S28" i="17"/>
  <c r="N208" i="17"/>
  <c r="N28" i="17"/>
  <c r="N72" i="17" s="1"/>
  <c r="K95" i="17"/>
  <c r="K213" i="17"/>
  <c r="H234" i="4"/>
  <c r="H95" i="4"/>
  <c r="W229" i="4"/>
  <c r="W42" i="4" s="1"/>
  <c r="V234" i="4"/>
  <c r="V95" i="4"/>
  <c r="AA29" i="4"/>
  <c r="AA229" i="4"/>
  <c r="M229" i="17"/>
  <c r="I229" i="4"/>
  <c r="I29" i="4"/>
  <c r="V29" i="4"/>
  <c r="V73" i="4" s="1"/>
  <c r="V229" i="4"/>
  <c r="V42" i="4" s="1"/>
  <c r="N229" i="4"/>
  <c r="N29" i="4"/>
  <c r="N73" i="4" s="1"/>
  <c r="V208" i="17"/>
  <c r="V28" i="17"/>
  <c r="V72" i="17" s="1"/>
  <c r="N213" i="17"/>
  <c r="N95" i="17"/>
  <c r="W213" i="17"/>
  <c r="W95" i="17"/>
  <c r="I28" i="17"/>
  <c r="I208" i="17"/>
  <c r="X213" i="17"/>
  <c r="X95" i="17"/>
  <c r="H28" i="17"/>
  <c r="H208" i="17"/>
  <c r="Q208" i="17"/>
  <c r="Q28" i="17"/>
  <c r="L28" i="17"/>
  <c r="L208" i="17"/>
  <c r="J28" i="17"/>
  <c r="J72" i="17" s="1"/>
  <c r="J208" i="17"/>
  <c r="J229" i="17"/>
  <c r="J234" i="17"/>
  <c r="R95" i="4"/>
  <c r="R234" i="4"/>
  <c r="X229" i="4"/>
  <c r="AA95" i="4"/>
  <c r="AA234" i="4"/>
  <c r="S234" i="4"/>
  <c r="S95" i="4"/>
  <c r="K234" i="4"/>
  <c r="K95" i="4"/>
  <c r="Q213" i="17"/>
  <c r="Q95" i="17"/>
  <c r="M95" i="17"/>
  <c r="M213" i="17"/>
  <c r="U95" i="17"/>
  <c r="U213" i="17"/>
  <c r="H213" i="17"/>
  <c r="H214" i="17" s="1"/>
  <c r="I211" i="17" s="1"/>
  <c r="H95" i="17"/>
  <c r="W28" i="17"/>
  <c r="W208" i="17"/>
  <c r="Z95" i="17"/>
  <c r="Z213" i="17"/>
  <c r="P208" i="17"/>
  <c r="P28" i="17"/>
  <c r="M208" i="17"/>
  <c r="M28" i="17"/>
  <c r="M72" i="17" s="1"/>
  <c r="I213" i="17"/>
  <c r="I95" i="17"/>
  <c r="K208" i="17"/>
  <c r="R41" i="4"/>
  <c r="R77" i="4"/>
  <c r="Z41" i="4"/>
  <c r="Z77" i="4"/>
  <c r="H41" i="4"/>
  <c r="H77" i="4"/>
  <c r="V41" i="4"/>
  <c r="V77" i="4"/>
  <c r="J41" i="17"/>
  <c r="J77" i="17"/>
  <c r="Z41" i="17"/>
  <c r="Z77" i="17"/>
  <c r="V41" i="17"/>
  <c r="V77" i="17"/>
  <c r="N41" i="17"/>
  <c r="N77" i="17"/>
  <c r="L41" i="4"/>
  <c r="L77" i="4"/>
  <c r="J41" i="4"/>
  <c r="J77" i="4"/>
  <c r="N41" i="4"/>
  <c r="N77" i="4"/>
  <c r="P41" i="4"/>
  <c r="P77" i="4"/>
  <c r="T41" i="4"/>
  <c r="T77" i="4"/>
  <c r="M41" i="17"/>
  <c r="M77" i="17"/>
  <c r="Y97" i="7"/>
  <c r="AV97" i="7"/>
  <c r="AM97" i="7"/>
  <c r="T97" i="7"/>
  <c r="AR285" i="7"/>
  <c r="AY285" i="7"/>
  <c r="AU285" i="7"/>
  <c r="P285" i="7"/>
  <c r="AA285" i="7"/>
  <c r="Q285" i="7"/>
  <c r="U239" i="7"/>
  <c r="AC239" i="7"/>
  <c r="L667" i="7"/>
  <c r="M664" i="7" s="1"/>
  <c r="M667" i="7" s="1"/>
  <c r="N664" i="7" s="1"/>
  <c r="N667" i="7" s="1"/>
  <c r="O664" i="7" s="1"/>
  <c r="O667" i="7" s="1"/>
  <c r="P664" i="7" s="1"/>
  <c r="P667" i="7" s="1"/>
  <c r="Q664" i="7" s="1"/>
  <c r="Q667" i="7" s="1"/>
  <c r="R664" i="7" s="1"/>
  <c r="R667" i="7" s="1"/>
  <c r="S664" i="7" s="1"/>
  <c r="S667" i="7" s="1"/>
  <c r="T664" i="7" s="1"/>
  <c r="T667" i="7" s="1"/>
  <c r="U664" i="7" s="1"/>
  <c r="U667" i="7" s="1"/>
  <c r="V664" i="7" s="1"/>
  <c r="V667" i="7" s="1"/>
  <c r="W664" i="7" s="1"/>
  <c r="W667" i="7" s="1"/>
  <c r="X664" i="7" s="1"/>
  <c r="X667" i="7" s="1"/>
  <c r="Y664" i="7" s="1"/>
  <c r="Y667" i="7" s="1"/>
  <c r="Z664" i="7" s="1"/>
  <c r="Z667" i="7" s="1"/>
  <c r="AA664" i="7" s="1"/>
  <c r="AA667" i="7" s="1"/>
  <c r="AB664" i="7" s="1"/>
  <c r="AB667" i="7" s="1"/>
  <c r="AC664" i="7" s="1"/>
  <c r="AC667" i="7" s="1"/>
  <c r="AD664" i="7" s="1"/>
  <c r="AD667" i="7" s="1"/>
  <c r="AE664" i="7" s="1"/>
  <c r="AE667" i="7" s="1"/>
  <c r="AF664" i="7" s="1"/>
  <c r="AF667" i="7" s="1"/>
  <c r="AG664" i="7" s="1"/>
  <c r="AG667" i="7" s="1"/>
  <c r="AH664" i="7" s="1"/>
  <c r="AH667" i="7" s="1"/>
  <c r="AI664" i="7" s="1"/>
  <c r="AI667" i="7" s="1"/>
  <c r="AJ664" i="7" s="1"/>
  <c r="AJ667" i="7" s="1"/>
  <c r="AK664" i="7" s="1"/>
  <c r="AK667" i="7" s="1"/>
  <c r="AL664" i="7" s="1"/>
  <c r="AL667" i="7" s="1"/>
  <c r="AM664" i="7" s="1"/>
  <c r="AM667" i="7" s="1"/>
  <c r="AN664" i="7" s="1"/>
  <c r="AN667" i="7" s="1"/>
  <c r="AO664" i="7" s="1"/>
  <c r="AO667" i="7" s="1"/>
  <c r="AP664" i="7" s="1"/>
  <c r="AP667" i="7" s="1"/>
  <c r="AQ664" i="7" s="1"/>
  <c r="AQ667" i="7" s="1"/>
  <c r="AR664" i="7" s="1"/>
  <c r="AR667" i="7" s="1"/>
  <c r="AS664" i="7" s="1"/>
  <c r="AS667" i="7" s="1"/>
  <c r="AT664" i="7" s="1"/>
  <c r="AT667" i="7" s="1"/>
  <c r="AU664" i="7" s="1"/>
  <c r="AU667" i="7" s="1"/>
  <c r="AV664" i="7" s="1"/>
  <c r="AV667" i="7" s="1"/>
  <c r="AW664" i="7" s="1"/>
  <c r="AW667" i="7" s="1"/>
  <c r="AX664" i="7" s="1"/>
  <c r="AX667" i="7" s="1"/>
  <c r="AY664" i="7" s="1"/>
  <c r="AY667" i="7" s="1"/>
  <c r="AZ664" i="7" s="1"/>
  <c r="AZ667" i="7" s="1"/>
  <c r="BA664" i="7" s="1"/>
  <c r="BA667" i="7" s="1"/>
  <c r="BB664" i="7" s="1"/>
  <c r="BB667" i="7" s="1"/>
  <c r="BC664" i="7" s="1"/>
  <c r="BC667" i="7" s="1"/>
  <c r="BD664" i="7" s="1"/>
  <c r="BD667" i="7" s="1"/>
  <c r="BE664" i="7" s="1"/>
  <c r="BE667" i="7" s="1"/>
  <c r="S239" i="7"/>
  <c r="AD239" i="7"/>
  <c r="AK239" i="7"/>
  <c r="AS239" i="7"/>
  <c r="AV239" i="7"/>
  <c r="BA191" i="7"/>
  <c r="J191" i="7"/>
  <c r="V191" i="7"/>
  <c r="O191" i="7"/>
  <c r="Z191" i="7"/>
  <c r="AB191" i="7"/>
  <c r="AV145" i="7"/>
  <c r="AT145" i="7"/>
  <c r="AF145" i="7"/>
  <c r="AB97" i="7"/>
  <c r="AL97" i="7"/>
  <c r="AQ97" i="7"/>
  <c r="I51" i="7"/>
  <c r="P51" i="7"/>
  <c r="BC51" i="7"/>
  <c r="AS285" i="7"/>
  <c r="R285" i="7"/>
  <c r="H702" i="7"/>
  <c r="I699" i="7" s="1"/>
  <c r="I702" i="7" s="1"/>
  <c r="J699" i="7" s="1"/>
  <c r="J702" i="7" s="1"/>
  <c r="K699" i="7" s="1"/>
  <c r="K702" i="7" s="1"/>
  <c r="L699" i="7" s="1"/>
  <c r="L702" i="7" s="1"/>
  <c r="M699" i="7" s="1"/>
  <c r="M702" i="7" s="1"/>
  <c r="N699" i="7" s="1"/>
  <c r="N702" i="7" s="1"/>
  <c r="O699" i="7" s="1"/>
  <c r="O702" i="7" s="1"/>
  <c r="P699" i="7" s="1"/>
  <c r="P702" i="7" s="1"/>
  <c r="Q699" i="7" s="1"/>
  <c r="Q702" i="7" s="1"/>
  <c r="R699" i="7" s="1"/>
  <c r="R702" i="7" s="1"/>
  <c r="S699" i="7" s="1"/>
  <c r="S702" i="7" s="1"/>
  <c r="T699" i="7" s="1"/>
  <c r="T702" i="7" s="1"/>
  <c r="U699" i="7" s="1"/>
  <c r="U702" i="7" s="1"/>
  <c r="V699" i="7" s="1"/>
  <c r="V702" i="7" s="1"/>
  <c r="W699" i="7" s="1"/>
  <c r="W702" i="7" s="1"/>
  <c r="X699" i="7" s="1"/>
  <c r="X702" i="7" s="1"/>
  <c r="Y699" i="7" s="1"/>
  <c r="Y702" i="7" s="1"/>
  <c r="Z699" i="7" s="1"/>
  <c r="Z702" i="7" s="1"/>
  <c r="AA699" i="7" s="1"/>
  <c r="AA702" i="7" s="1"/>
  <c r="AB699" i="7" s="1"/>
  <c r="AB702" i="7" s="1"/>
  <c r="AC699" i="7" s="1"/>
  <c r="AC702" i="7" s="1"/>
  <c r="AD699" i="7" s="1"/>
  <c r="AD702" i="7" s="1"/>
  <c r="AE699" i="7" s="1"/>
  <c r="AE702" i="7" s="1"/>
  <c r="AF699" i="7" s="1"/>
  <c r="AF702" i="7" s="1"/>
  <c r="AG699" i="7" s="1"/>
  <c r="AG702" i="7" s="1"/>
  <c r="AH699" i="7" s="1"/>
  <c r="AH702" i="7" s="1"/>
  <c r="AI699" i="7" s="1"/>
  <c r="AI702" i="7" s="1"/>
  <c r="AJ699" i="7" s="1"/>
  <c r="AJ702" i="7" s="1"/>
  <c r="AK699" i="7" s="1"/>
  <c r="AK702" i="7" s="1"/>
  <c r="AL699" i="7" s="1"/>
  <c r="AL702" i="7" s="1"/>
  <c r="AM699" i="7" s="1"/>
  <c r="AM702" i="7" s="1"/>
  <c r="AN699" i="7" s="1"/>
  <c r="AN702" i="7" s="1"/>
  <c r="AO699" i="7" s="1"/>
  <c r="AO702" i="7" s="1"/>
  <c r="AP699" i="7" s="1"/>
  <c r="V285" i="7"/>
  <c r="BC285" i="7"/>
  <c r="X744" i="7"/>
  <c r="Y741" i="7" s="1"/>
  <c r="Y744" i="7" s="1"/>
  <c r="Z741" i="7" s="1"/>
  <c r="Z744" i="7" s="1"/>
  <c r="AA741" i="7" s="1"/>
  <c r="AA744" i="7" s="1"/>
  <c r="AB741" i="7" s="1"/>
  <c r="AB744" i="7" s="1"/>
  <c r="AC741" i="7" s="1"/>
  <c r="AC744" i="7" s="1"/>
  <c r="AD741" i="7" s="1"/>
  <c r="AD744" i="7" s="1"/>
  <c r="AE741" i="7" s="1"/>
  <c r="AE744" i="7" s="1"/>
  <c r="AF741" i="7" s="1"/>
  <c r="AF744" i="7" s="1"/>
  <c r="AG741" i="7" s="1"/>
  <c r="AG744" i="7" s="1"/>
  <c r="AH741" i="7" s="1"/>
  <c r="AH744" i="7" s="1"/>
  <c r="AI741" i="7" s="1"/>
  <c r="AI744" i="7" s="1"/>
  <c r="AJ741" i="7" s="1"/>
  <c r="AJ744" i="7" s="1"/>
  <c r="AK741" i="7" s="1"/>
  <c r="AK744" i="7" s="1"/>
  <c r="AL741" i="7" s="1"/>
  <c r="AL744" i="7" s="1"/>
  <c r="AM741" i="7" s="1"/>
  <c r="AM744" i="7" s="1"/>
  <c r="AN741" i="7" s="1"/>
  <c r="AN744" i="7" s="1"/>
  <c r="AO741" i="7" s="1"/>
  <c r="AO744" i="7" s="1"/>
  <c r="AP741" i="7" s="1"/>
  <c r="AP744" i="7" s="1"/>
  <c r="AQ741" i="7" s="1"/>
  <c r="AQ744" i="7" s="1"/>
  <c r="AR741" i="7" s="1"/>
  <c r="AR744" i="7" s="1"/>
  <c r="AS741" i="7" s="1"/>
  <c r="AS744" i="7" s="1"/>
  <c r="AT741" i="7" s="1"/>
  <c r="AT744" i="7" s="1"/>
  <c r="AU741" i="7" s="1"/>
  <c r="AU744" i="7" s="1"/>
  <c r="AV741" i="7" s="1"/>
  <c r="AV744" i="7" s="1"/>
  <c r="AW741" i="7" s="1"/>
  <c r="AW744" i="7" s="1"/>
  <c r="AX741" i="7" s="1"/>
  <c r="AX744" i="7" s="1"/>
  <c r="AY741" i="7" s="1"/>
  <c r="AY744" i="7" s="1"/>
  <c r="AZ741" i="7" s="1"/>
  <c r="AZ744" i="7" s="1"/>
  <c r="BA741" i="7" s="1"/>
  <c r="BA744" i="7" s="1"/>
  <c r="BB741" i="7" s="1"/>
  <c r="BB744" i="7" s="1"/>
  <c r="BC741" i="7" s="1"/>
  <c r="BC744" i="7" s="1"/>
  <c r="BD741" i="7" s="1"/>
  <c r="BD744" i="7" s="1"/>
  <c r="BE741" i="7" s="1"/>
  <c r="BE744" i="7" s="1"/>
  <c r="AT285" i="7"/>
  <c r="AW285" i="7"/>
  <c r="H273" i="7"/>
  <c r="H282" i="7" s="1"/>
  <c r="M285" i="7"/>
  <c r="AQ285" i="7"/>
  <c r="BB284" i="7"/>
  <c r="X239" i="7"/>
  <c r="R625" i="7"/>
  <c r="S622" i="7" s="1"/>
  <c r="S625" i="7" s="1"/>
  <c r="T622" i="7" s="1"/>
  <c r="T625" i="7" s="1"/>
  <c r="U622" i="7" s="1"/>
  <c r="U625" i="7" s="1"/>
  <c r="V622" i="7" s="1"/>
  <c r="V625" i="7" s="1"/>
  <c r="W622" i="7" s="1"/>
  <c r="W625" i="7" s="1"/>
  <c r="X622" i="7" s="1"/>
  <c r="X625" i="7" s="1"/>
  <c r="Y622" i="7" s="1"/>
  <c r="Y625" i="7" s="1"/>
  <c r="Z622" i="7" s="1"/>
  <c r="Z625" i="7" s="1"/>
  <c r="AA622" i="7" s="1"/>
  <c r="AA625" i="7" s="1"/>
  <c r="AB622" i="7" s="1"/>
  <c r="AB625" i="7" s="1"/>
  <c r="AC622" i="7" s="1"/>
  <c r="AC625" i="7" s="1"/>
  <c r="AD622" i="7" s="1"/>
  <c r="AD625" i="7" s="1"/>
  <c r="AE622" i="7" s="1"/>
  <c r="AE625" i="7" s="1"/>
  <c r="AF622" i="7" s="1"/>
  <c r="AF625" i="7" s="1"/>
  <c r="AG622" i="7" s="1"/>
  <c r="AG625" i="7" s="1"/>
  <c r="AH622" i="7" s="1"/>
  <c r="AH625" i="7" s="1"/>
  <c r="AI622" i="7" s="1"/>
  <c r="AI625" i="7" s="1"/>
  <c r="AJ622" i="7" s="1"/>
  <c r="AJ625" i="7" s="1"/>
  <c r="AK622" i="7" s="1"/>
  <c r="AK625" i="7" s="1"/>
  <c r="AL622" i="7" s="1"/>
  <c r="AL625" i="7" s="1"/>
  <c r="AM622" i="7" s="1"/>
  <c r="AM625" i="7" s="1"/>
  <c r="AN622" i="7" s="1"/>
  <c r="AN625" i="7" s="1"/>
  <c r="AO622" i="7" s="1"/>
  <c r="AO625" i="7" s="1"/>
  <c r="AP622" i="7" s="1"/>
  <c r="AP625" i="7" s="1"/>
  <c r="AQ622" i="7" s="1"/>
  <c r="AQ625" i="7" s="1"/>
  <c r="AR622" i="7" s="1"/>
  <c r="AR625" i="7" s="1"/>
  <c r="AS622" i="7" s="1"/>
  <c r="AS625" i="7" s="1"/>
  <c r="AT622" i="7" s="1"/>
  <c r="AT625" i="7" s="1"/>
  <c r="AU622" i="7" s="1"/>
  <c r="AU625" i="7" s="1"/>
  <c r="AV622" i="7" s="1"/>
  <c r="AV625" i="7" s="1"/>
  <c r="AW622" i="7" s="1"/>
  <c r="AW625" i="7" s="1"/>
  <c r="AX622" i="7" s="1"/>
  <c r="AX625" i="7" s="1"/>
  <c r="AY622" i="7" s="1"/>
  <c r="AY625" i="7" s="1"/>
  <c r="AZ622" i="7" s="1"/>
  <c r="AZ625" i="7" s="1"/>
  <c r="BA622" i="7" s="1"/>
  <c r="BA625" i="7" s="1"/>
  <c r="BB622" i="7" s="1"/>
  <c r="BB625" i="7" s="1"/>
  <c r="BC622" i="7" s="1"/>
  <c r="BC625" i="7" s="1"/>
  <c r="BD622" i="7" s="1"/>
  <c r="BD625" i="7" s="1"/>
  <c r="BE622" i="7" s="1"/>
  <c r="BE625" i="7" s="1"/>
  <c r="AI239" i="7"/>
  <c r="Z239" i="7"/>
  <c r="AQ239" i="7"/>
  <c r="P239" i="7"/>
  <c r="N239" i="7"/>
  <c r="AS547" i="7"/>
  <c r="AT544" i="7" s="1"/>
  <c r="AT547" i="7" s="1"/>
  <c r="AU544" i="7" s="1"/>
  <c r="AU547" i="7" s="1"/>
  <c r="AV544" i="7" s="1"/>
  <c r="AV547" i="7" s="1"/>
  <c r="AW544" i="7" s="1"/>
  <c r="AW547" i="7" s="1"/>
  <c r="AX544" i="7" s="1"/>
  <c r="AX547" i="7" s="1"/>
  <c r="AY544" i="7" s="1"/>
  <c r="AY547" i="7" s="1"/>
  <c r="AZ544" i="7" s="1"/>
  <c r="AZ547" i="7" s="1"/>
  <c r="BA544" i="7" s="1"/>
  <c r="BA547" i="7" s="1"/>
  <c r="BB544" i="7" s="1"/>
  <c r="BB547" i="7" s="1"/>
  <c r="BC544" i="7" s="1"/>
  <c r="BC547" i="7" s="1"/>
  <c r="BD544" i="7" s="1"/>
  <c r="BD547" i="7" s="1"/>
  <c r="BE544" i="7" s="1"/>
  <c r="BE547" i="7" s="1"/>
  <c r="AG191" i="7"/>
  <c r="AN191" i="7"/>
  <c r="H179" i="7"/>
  <c r="H188" i="7" s="1"/>
  <c r="AS191" i="7"/>
  <c r="AH191" i="7"/>
  <c r="AC191" i="7"/>
  <c r="AU191" i="7"/>
  <c r="AY191" i="7"/>
  <c r="T191" i="7"/>
  <c r="I191" i="7"/>
  <c r="AQ191" i="7"/>
  <c r="J192" i="7"/>
  <c r="J193" i="7" s="1"/>
  <c r="AK191" i="7"/>
  <c r="S191" i="7"/>
  <c r="K191" i="7"/>
  <c r="M145" i="7"/>
  <c r="AH145" i="7"/>
  <c r="U145" i="7"/>
  <c r="Y145" i="7"/>
  <c r="P145" i="7"/>
  <c r="X145" i="7"/>
  <c r="AY145" i="7"/>
  <c r="AI145" i="7"/>
  <c r="BB145" i="7"/>
  <c r="Z145" i="7"/>
  <c r="X97" i="7"/>
  <c r="AH97" i="7"/>
  <c r="V97" i="7"/>
  <c r="AG97" i="7"/>
  <c r="AY97" i="7"/>
  <c r="AF97" i="7"/>
  <c r="BC97" i="7"/>
  <c r="M97" i="7"/>
  <c r="AR97" i="7"/>
  <c r="H85" i="7"/>
  <c r="H94" i="7" s="1"/>
  <c r="AK97" i="7"/>
  <c r="AU97" i="7"/>
  <c r="Z97" i="7"/>
  <c r="AS97" i="7"/>
  <c r="AP97" i="7"/>
  <c r="H51" i="7"/>
  <c r="X51" i="7"/>
  <c r="S51" i="7"/>
  <c r="AA51" i="7"/>
  <c r="N51" i="7"/>
  <c r="AS51" i="7"/>
  <c r="K51" i="7"/>
  <c r="AC51" i="7"/>
  <c r="AT51" i="7"/>
  <c r="AV51" i="7"/>
  <c r="H191" i="7"/>
  <c r="AM818" i="7"/>
  <c r="AM174" i="7" s="1"/>
  <c r="AB818" i="7"/>
  <c r="AB174" i="7" s="1"/>
  <c r="W818" i="7"/>
  <c r="W174" i="7" s="1"/>
  <c r="P191" i="7"/>
  <c r="S568" i="7"/>
  <c r="T565" i="7" s="1"/>
  <c r="T568" i="7" s="1"/>
  <c r="U565" i="7" s="1"/>
  <c r="U568" i="7" s="1"/>
  <c r="V565" i="7" s="1"/>
  <c r="V568" i="7" s="1"/>
  <c r="W565" i="7" s="1"/>
  <c r="W568" i="7" s="1"/>
  <c r="X565" i="7" s="1"/>
  <c r="X568" i="7" s="1"/>
  <c r="Y565" i="7" s="1"/>
  <c r="Y568" i="7" s="1"/>
  <c r="Z565" i="7" s="1"/>
  <c r="Z568" i="7" s="1"/>
  <c r="AA565" i="7" s="1"/>
  <c r="AA568" i="7" s="1"/>
  <c r="AB565" i="7" s="1"/>
  <c r="AB568" i="7" s="1"/>
  <c r="AC565" i="7" s="1"/>
  <c r="AC568" i="7" s="1"/>
  <c r="AD565" i="7" s="1"/>
  <c r="AD568" i="7" s="1"/>
  <c r="AE565" i="7" s="1"/>
  <c r="AE568" i="7" s="1"/>
  <c r="AF565" i="7" s="1"/>
  <c r="AF568" i="7" s="1"/>
  <c r="AG565" i="7" s="1"/>
  <c r="AG568" i="7" s="1"/>
  <c r="AH565" i="7" s="1"/>
  <c r="AH568" i="7" s="1"/>
  <c r="AI565" i="7" s="1"/>
  <c r="AI568" i="7" s="1"/>
  <c r="AJ565" i="7" s="1"/>
  <c r="AJ568" i="7" s="1"/>
  <c r="AK565" i="7" s="1"/>
  <c r="AK568" i="7" s="1"/>
  <c r="AL565" i="7" s="1"/>
  <c r="AL568" i="7" s="1"/>
  <c r="AM565" i="7" s="1"/>
  <c r="AM568" i="7" s="1"/>
  <c r="AN565" i="7" s="1"/>
  <c r="AN568" i="7" s="1"/>
  <c r="AO565" i="7" s="1"/>
  <c r="AO568" i="7" s="1"/>
  <c r="AP565" i="7" s="1"/>
  <c r="AP568" i="7" s="1"/>
  <c r="AQ565" i="7" s="1"/>
  <c r="AQ568" i="7" s="1"/>
  <c r="AR565" i="7" s="1"/>
  <c r="AR568" i="7" s="1"/>
  <c r="AS565" i="7" s="1"/>
  <c r="AS568" i="7" s="1"/>
  <c r="AT565" i="7" s="1"/>
  <c r="AT568" i="7" s="1"/>
  <c r="AU565" i="7" s="1"/>
  <c r="AU568" i="7" s="1"/>
  <c r="AV565" i="7" s="1"/>
  <c r="AV568" i="7" s="1"/>
  <c r="AW565" i="7" s="1"/>
  <c r="AW568" i="7" s="1"/>
  <c r="AX565" i="7" s="1"/>
  <c r="AX568" i="7" s="1"/>
  <c r="AY565" i="7" s="1"/>
  <c r="AY568" i="7" s="1"/>
  <c r="AZ565" i="7" s="1"/>
  <c r="AZ568" i="7" s="1"/>
  <c r="BA565" i="7" s="1"/>
  <c r="BA568" i="7" s="1"/>
  <c r="BB565" i="7" s="1"/>
  <c r="BB568" i="7" s="1"/>
  <c r="BC565" i="7" s="1"/>
  <c r="BC568" i="7" s="1"/>
  <c r="BD565" i="7" s="1"/>
  <c r="BD568" i="7" s="1"/>
  <c r="BE565" i="7" s="1"/>
  <c r="BE568" i="7" s="1"/>
  <c r="AN804" i="7"/>
  <c r="AN128" i="7" s="1"/>
  <c r="AV804" i="7"/>
  <c r="AV128" i="7" s="1"/>
  <c r="AT804" i="7"/>
  <c r="AT128" i="7" s="1"/>
  <c r="J145" i="7"/>
  <c r="AE145" i="7"/>
  <c r="AZ804" i="7"/>
  <c r="AZ128" i="7" s="1"/>
  <c r="AR804" i="7"/>
  <c r="AR128" i="7" s="1"/>
  <c r="L145" i="7"/>
  <c r="Q145" i="7"/>
  <c r="AL145" i="7"/>
  <c r="K804" i="7"/>
  <c r="K128" i="7" s="1"/>
  <c r="K146" i="7" s="1"/>
  <c r="AB804" i="7"/>
  <c r="AB128" i="7" s="1"/>
  <c r="AM804" i="7"/>
  <c r="AM128" i="7" s="1"/>
  <c r="AU145" i="7"/>
  <c r="AA145" i="7"/>
  <c r="AW145" i="7"/>
  <c r="S145" i="7"/>
  <c r="I146" i="7"/>
  <c r="AS145" i="7"/>
  <c r="K145" i="7"/>
  <c r="V145" i="7"/>
  <c r="BD51" i="7"/>
  <c r="AD284" i="7"/>
  <c r="J832" i="7"/>
  <c r="J222" i="7" s="1"/>
  <c r="V51" i="7"/>
  <c r="AP776" i="7"/>
  <c r="AP34" i="7" s="1"/>
  <c r="AZ51" i="7"/>
  <c r="J141" i="7"/>
  <c r="J146" i="7"/>
  <c r="AX191" i="7"/>
  <c r="AQ832" i="7"/>
  <c r="AQ222" i="7" s="1"/>
  <c r="AA832" i="7"/>
  <c r="AA222" i="7" s="1"/>
  <c r="R145" i="7"/>
  <c r="J239" i="7"/>
  <c r="Y776" i="7"/>
  <c r="Y34" i="7" s="1"/>
  <c r="I776" i="7"/>
  <c r="I34" i="7" s="1"/>
  <c r="I52" i="7" s="1"/>
  <c r="T51" i="7"/>
  <c r="Q51" i="7"/>
  <c r="Y51" i="7"/>
  <c r="N338" i="7"/>
  <c r="O335" i="7" s="1"/>
  <c r="O338" i="7" s="1"/>
  <c r="P335" i="7" s="1"/>
  <c r="P338" i="7" s="1"/>
  <c r="Q335" i="7" s="1"/>
  <c r="Q338" i="7" s="1"/>
  <c r="R335" i="7" s="1"/>
  <c r="R338" i="7" s="1"/>
  <c r="S335" i="7" s="1"/>
  <c r="S338" i="7" s="1"/>
  <c r="T335" i="7" s="1"/>
  <c r="T338" i="7" s="1"/>
  <c r="U335" i="7" s="1"/>
  <c r="U338" i="7" s="1"/>
  <c r="V335" i="7" s="1"/>
  <c r="V338" i="7" s="1"/>
  <c r="W335" i="7" s="1"/>
  <c r="W338" i="7" s="1"/>
  <c r="X335" i="7" s="1"/>
  <c r="X338" i="7" s="1"/>
  <c r="Y335" i="7" s="1"/>
  <c r="Y338" i="7" s="1"/>
  <c r="Z335" i="7" s="1"/>
  <c r="Z338" i="7" s="1"/>
  <c r="AA335" i="7" s="1"/>
  <c r="AA338" i="7" s="1"/>
  <c r="AB335" i="7" s="1"/>
  <c r="AB338" i="7" s="1"/>
  <c r="AC335" i="7" s="1"/>
  <c r="AC338" i="7" s="1"/>
  <c r="AD335" i="7" s="1"/>
  <c r="AD338" i="7" s="1"/>
  <c r="AE335" i="7" s="1"/>
  <c r="AE338" i="7" s="1"/>
  <c r="AF335" i="7" s="1"/>
  <c r="AF338" i="7" s="1"/>
  <c r="AG335" i="7" s="1"/>
  <c r="AG338" i="7" s="1"/>
  <c r="AH335" i="7" s="1"/>
  <c r="AH338" i="7" s="1"/>
  <c r="AI335" i="7" s="1"/>
  <c r="AI338" i="7" s="1"/>
  <c r="AJ335" i="7" s="1"/>
  <c r="AJ338" i="7" s="1"/>
  <c r="AK335" i="7" s="1"/>
  <c r="AK338" i="7" s="1"/>
  <c r="AL335" i="7" s="1"/>
  <c r="AL338" i="7" s="1"/>
  <c r="AM335" i="7" s="1"/>
  <c r="AM338" i="7" s="1"/>
  <c r="AN335" i="7" s="1"/>
  <c r="AN338" i="7" s="1"/>
  <c r="AO335" i="7" s="1"/>
  <c r="AO338" i="7" s="1"/>
  <c r="AP335" i="7" s="1"/>
  <c r="AP338" i="7" s="1"/>
  <c r="AQ335" i="7" s="1"/>
  <c r="AQ338" i="7" s="1"/>
  <c r="AR335" i="7" s="1"/>
  <c r="AR338" i="7" s="1"/>
  <c r="AS335" i="7" s="1"/>
  <c r="AS338" i="7" s="1"/>
  <c r="AT335" i="7" s="1"/>
  <c r="AT338" i="7" s="1"/>
  <c r="AU335" i="7" s="1"/>
  <c r="AU338" i="7" s="1"/>
  <c r="AV335" i="7" s="1"/>
  <c r="AV338" i="7" s="1"/>
  <c r="AW335" i="7" s="1"/>
  <c r="AW338" i="7" s="1"/>
  <c r="AX335" i="7" s="1"/>
  <c r="AX338" i="7" s="1"/>
  <c r="AY335" i="7" s="1"/>
  <c r="AY338" i="7" s="1"/>
  <c r="AZ335" i="7" s="1"/>
  <c r="AZ338" i="7" s="1"/>
  <c r="BA335" i="7" s="1"/>
  <c r="BA338" i="7" s="1"/>
  <c r="BB335" i="7" s="1"/>
  <c r="BB338" i="7" s="1"/>
  <c r="BC335" i="7" s="1"/>
  <c r="BC338" i="7" s="1"/>
  <c r="BD335" i="7" s="1"/>
  <c r="BD338" i="7" s="1"/>
  <c r="BE335" i="7" s="1"/>
  <c r="BE338" i="7" s="1"/>
  <c r="I286" i="7"/>
  <c r="I281" i="7"/>
  <c r="J93" i="7"/>
  <c r="J98" i="7"/>
  <c r="AP145" i="7"/>
  <c r="H142" i="7"/>
  <c r="AT832" i="7"/>
  <c r="AT222" i="7" s="1"/>
  <c r="BB832" i="7"/>
  <c r="BB222" i="7" s="1"/>
  <c r="AS832" i="7"/>
  <c r="AS222" i="7" s="1"/>
  <c r="AG832" i="7"/>
  <c r="AG222" i="7" s="1"/>
  <c r="U832" i="7"/>
  <c r="U222" i="7" s="1"/>
  <c r="H93" i="7"/>
  <c r="AS144" i="7"/>
  <c r="W51" i="7"/>
  <c r="X776" i="7"/>
  <c r="X34" i="7" s="1"/>
  <c r="J51" i="7"/>
  <c r="Z51" i="7"/>
  <c r="AK51" i="7"/>
  <c r="AV317" i="7"/>
  <c r="AW314" i="7" s="1"/>
  <c r="AW317" i="7" s="1"/>
  <c r="AX314" i="7" s="1"/>
  <c r="AX317" i="7" s="1"/>
  <c r="AY314" i="7" s="1"/>
  <c r="AY317" i="7" s="1"/>
  <c r="AZ314" i="7" s="1"/>
  <c r="AZ317" i="7" s="1"/>
  <c r="BA314" i="7" s="1"/>
  <c r="BA317" i="7" s="1"/>
  <c r="BB314" i="7" s="1"/>
  <c r="BB317" i="7" s="1"/>
  <c r="BC314" i="7" s="1"/>
  <c r="BC317" i="7" s="1"/>
  <c r="BD314" i="7" s="1"/>
  <c r="BD317" i="7" s="1"/>
  <c r="BE314" i="7" s="1"/>
  <c r="BE317" i="7" s="1"/>
  <c r="AB51" i="7"/>
  <c r="AO51" i="7"/>
  <c r="AP51" i="7"/>
  <c r="H281" i="7"/>
  <c r="AR284" i="7"/>
  <c r="BC284" i="7"/>
  <c r="Y646" i="7"/>
  <c r="Z643" i="7" s="1"/>
  <c r="Z646" i="7" s="1"/>
  <c r="AA643" i="7" s="1"/>
  <c r="AA646" i="7" s="1"/>
  <c r="AB643" i="7" s="1"/>
  <c r="AB646" i="7" s="1"/>
  <c r="AC643" i="7" s="1"/>
  <c r="AC646" i="7" s="1"/>
  <c r="AD643" i="7" s="1"/>
  <c r="AD646" i="7" s="1"/>
  <c r="AE643" i="7" s="1"/>
  <c r="AE646" i="7" s="1"/>
  <c r="AF643" i="7" s="1"/>
  <c r="AF646" i="7" s="1"/>
  <c r="AG643" i="7" s="1"/>
  <c r="AG646" i="7" s="1"/>
  <c r="AH643" i="7" s="1"/>
  <c r="AH646" i="7" s="1"/>
  <c r="AI643" i="7" s="1"/>
  <c r="AI646" i="7" s="1"/>
  <c r="AJ643" i="7" s="1"/>
  <c r="AJ646" i="7" s="1"/>
  <c r="AK643" i="7" s="1"/>
  <c r="AK646" i="7" s="1"/>
  <c r="AL643" i="7" s="1"/>
  <c r="AL646" i="7" s="1"/>
  <c r="AM643" i="7" s="1"/>
  <c r="AM646" i="7" s="1"/>
  <c r="AN643" i="7" s="1"/>
  <c r="AN646" i="7" s="1"/>
  <c r="AO643" i="7" s="1"/>
  <c r="AO646" i="7" s="1"/>
  <c r="AP643" i="7" s="1"/>
  <c r="AP646" i="7" s="1"/>
  <c r="AQ643" i="7" s="1"/>
  <c r="AQ646" i="7" s="1"/>
  <c r="AR643" i="7" s="1"/>
  <c r="AR646" i="7" s="1"/>
  <c r="AS643" i="7" s="1"/>
  <c r="AS646" i="7" s="1"/>
  <c r="AT643" i="7" s="1"/>
  <c r="AT646" i="7" s="1"/>
  <c r="AU643" i="7" s="1"/>
  <c r="AU646" i="7" s="1"/>
  <c r="AV643" i="7" s="1"/>
  <c r="AV646" i="7" s="1"/>
  <c r="AW643" i="7" s="1"/>
  <c r="AW646" i="7" s="1"/>
  <c r="AX643" i="7" s="1"/>
  <c r="AX646" i="7" s="1"/>
  <c r="AY643" i="7" s="1"/>
  <c r="AY646" i="7" s="1"/>
  <c r="AZ643" i="7" s="1"/>
  <c r="AZ646" i="7" s="1"/>
  <c r="BA643" i="7" s="1"/>
  <c r="BA646" i="7" s="1"/>
  <c r="BB643" i="7" s="1"/>
  <c r="BB646" i="7" s="1"/>
  <c r="BC643" i="7" s="1"/>
  <c r="BC646" i="7" s="1"/>
  <c r="BD643" i="7" s="1"/>
  <c r="BD646" i="7" s="1"/>
  <c r="BE643" i="7" s="1"/>
  <c r="BE646" i="7" s="1"/>
  <c r="AR239" i="7"/>
  <c r="R818" i="7"/>
  <c r="R174" i="7" s="1"/>
  <c r="Q97" i="7"/>
  <c r="AH832" i="7"/>
  <c r="AH222" i="7" s="1"/>
  <c r="H145" i="7"/>
  <c r="H52" i="7"/>
  <c r="H53" i="7" s="1"/>
  <c r="AJ51" i="7"/>
  <c r="AF51" i="7"/>
  <c r="J52" i="7"/>
  <c r="J53" i="7" s="1"/>
  <c r="AI51" i="7"/>
  <c r="AM51" i="7"/>
  <c r="P229" i="4" l="1"/>
  <c r="P42" i="4" s="1"/>
  <c r="U229" i="4"/>
  <c r="Y29" i="4"/>
  <c r="H235" i="4"/>
  <c r="I232" i="4" s="1"/>
  <c r="I235" i="4" s="1"/>
  <c r="J232" i="4" s="1"/>
  <c r="J235" i="4" s="1"/>
  <c r="K232" i="4" s="1"/>
  <c r="V185" i="4"/>
  <c r="L185" i="17"/>
  <c r="Z326" i="4"/>
  <c r="X326" i="4"/>
  <c r="X132" i="4" s="1"/>
  <c r="H165" i="17"/>
  <c r="J95" i="4"/>
  <c r="I284" i="17"/>
  <c r="S97" i="7"/>
  <c r="K326" i="17"/>
  <c r="K132" i="17" s="1"/>
  <c r="L326" i="17"/>
  <c r="L132" i="17" s="1"/>
  <c r="K332" i="17"/>
  <c r="L329" i="17" s="1"/>
  <c r="L332" i="17" s="1"/>
  <c r="M329" i="17" s="1"/>
  <c r="M332" i="17" s="1"/>
  <c r="N329" i="17" s="1"/>
  <c r="N332" i="17" s="1"/>
  <c r="O329" i="17" s="1"/>
  <c r="O332" i="17" s="1"/>
  <c r="P329" i="17" s="1"/>
  <c r="P332" i="17" s="1"/>
  <c r="Q329" i="17" s="1"/>
  <c r="Q332" i="17" s="1"/>
  <c r="R329" i="17" s="1"/>
  <c r="R332" i="17" s="1"/>
  <c r="S329" i="17" s="1"/>
  <c r="S332" i="17" s="1"/>
  <c r="T329" i="17" s="1"/>
  <c r="T332" i="17" s="1"/>
  <c r="U329" i="17" s="1"/>
  <c r="U332" i="17" s="1"/>
  <c r="V329" i="17" s="1"/>
  <c r="V332" i="17" s="1"/>
  <c r="W329" i="17" s="1"/>
  <c r="W332" i="17" s="1"/>
  <c r="X329" i="17" s="1"/>
  <c r="X332" i="17" s="1"/>
  <c r="Y329" i="17" s="1"/>
  <c r="Y332" i="17" s="1"/>
  <c r="Z329" i="17" s="1"/>
  <c r="Z332" i="17" s="1"/>
  <c r="AA329" i="17" s="1"/>
  <c r="AA332" i="17" s="1"/>
  <c r="V326" i="17"/>
  <c r="J286" i="7"/>
  <c r="C21" i="9"/>
  <c r="L20" i="9"/>
  <c r="K75" i="7" s="1"/>
  <c r="M20" i="9"/>
  <c r="O20" i="9"/>
  <c r="K217" i="7" s="1"/>
  <c r="P20" i="9"/>
  <c r="K263" i="7" s="1"/>
  <c r="N20" i="9"/>
  <c r="K169" i="7" s="1"/>
  <c r="K20" i="9"/>
  <c r="L121" i="7"/>
  <c r="L120" i="7" s="1"/>
  <c r="L126" i="7" s="1"/>
  <c r="K264" i="7"/>
  <c r="L76" i="7"/>
  <c r="L264" i="7"/>
  <c r="L167" i="7"/>
  <c r="L166" i="7" s="1"/>
  <c r="L172" i="7" s="1"/>
  <c r="M41" i="18"/>
  <c r="S93" i="8"/>
  <c r="R326" i="17"/>
  <c r="R132" i="17" s="1"/>
  <c r="AN145" i="7"/>
  <c r="I53" i="7"/>
  <c r="I147" i="7"/>
  <c r="K192" i="7"/>
  <c r="M95" i="4"/>
  <c r="O229" i="4"/>
  <c r="P234" i="4"/>
  <c r="J229" i="4"/>
  <c r="J42" i="4" s="1"/>
  <c r="Z229" i="4"/>
  <c r="Z42" i="4" s="1"/>
  <c r="T29" i="4"/>
  <c r="T73" i="4" s="1"/>
  <c r="H185" i="17"/>
  <c r="U185" i="17"/>
  <c r="M185" i="17"/>
  <c r="N185" i="17"/>
  <c r="AA326" i="4"/>
  <c r="Y95" i="4"/>
  <c r="Q284" i="17"/>
  <c r="Q132" i="17" s="1"/>
  <c r="O284" i="17"/>
  <c r="U185" i="4"/>
  <c r="I95" i="4"/>
  <c r="Z284" i="17"/>
  <c r="T326" i="17"/>
  <c r="R120" i="17"/>
  <c r="R164" i="17" s="1"/>
  <c r="M326" i="17"/>
  <c r="I97" i="7"/>
  <c r="I99" i="7" s="1"/>
  <c r="K29" i="7"/>
  <c r="S229" i="4"/>
  <c r="K123" i="7"/>
  <c r="L27" i="7"/>
  <c r="L26" i="7" s="1"/>
  <c r="L32" i="7" s="1"/>
  <c r="K170" i="7"/>
  <c r="K73" i="7"/>
  <c r="K72" i="7" s="1"/>
  <c r="K78" i="7" s="1"/>
  <c r="T145" i="7"/>
  <c r="K261" i="7"/>
  <c r="K260" i="7" s="1"/>
  <c r="K266" i="7" s="1"/>
  <c r="J287" i="7"/>
  <c r="AM285" i="7"/>
  <c r="AP702" i="7"/>
  <c r="AQ699" i="7" s="1"/>
  <c r="AQ702" i="7" s="1"/>
  <c r="AR699" i="7" s="1"/>
  <c r="AR702" i="7" s="1"/>
  <c r="AS699" i="7" s="1"/>
  <c r="AS702" i="7" s="1"/>
  <c r="AT699" i="7" s="1"/>
  <c r="AT702" i="7" s="1"/>
  <c r="AU699" i="7" s="1"/>
  <c r="AU702" i="7" s="1"/>
  <c r="AV699" i="7" s="1"/>
  <c r="AV702" i="7" s="1"/>
  <c r="AW699" i="7" s="1"/>
  <c r="AW702" i="7" s="1"/>
  <c r="AX699" i="7" s="1"/>
  <c r="AX702" i="7" s="1"/>
  <c r="AY699" i="7" s="1"/>
  <c r="AY702" i="7" s="1"/>
  <c r="AZ699" i="7" s="1"/>
  <c r="AZ702" i="7" s="1"/>
  <c r="BA699" i="7" s="1"/>
  <c r="BA702" i="7" s="1"/>
  <c r="BB699" i="7" s="1"/>
  <c r="BB702" i="7" s="1"/>
  <c r="BC699" i="7" s="1"/>
  <c r="BC702" i="7" s="1"/>
  <c r="BD699" i="7" s="1"/>
  <c r="BD702" i="7" s="1"/>
  <c r="BE699" i="7" s="1"/>
  <c r="BE702" i="7" s="1"/>
  <c r="J240" i="7"/>
  <c r="X95" i="4"/>
  <c r="Y326" i="17"/>
  <c r="Y132" i="17" s="1"/>
  <c r="H147" i="7"/>
  <c r="H97" i="7"/>
  <c r="AP285" i="7"/>
  <c r="P131" i="17"/>
  <c r="P167" i="17"/>
  <c r="AC145" i="7"/>
  <c r="L29" i="4"/>
  <c r="L229" i="4"/>
  <c r="L42" i="4" s="1"/>
  <c r="H192" i="7"/>
  <c r="H193" i="7" s="1"/>
  <c r="M132" i="17"/>
  <c r="Q42" i="17"/>
  <c r="R167" i="4"/>
  <c r="H129" i="4"/>
  <c r="AA42" i="4"/>
  <c r="Q42" i="4"/>
  <c r="H77" i="17"/>
  <c r="N132" i="17"/>
  <c r="H75" i="4"/>
  <c r="K43" i="17"/>
  <c r="Q77" i="17"/>
  <c r="Q41" i="17"/>
  <c r="J241" i="7"/>
  <c r="K53" i="7"/>
  <c r="K193" i="7"/>
  <c r="H286" i="7"/>
  <c r="H287" i="7" s="1"/>
  <c r="K147" i="7"/>
  <c r="I193" i="7"/>
  <c r="N44" i="1"/>
  <c r="L40" i="16" s="1"/>
  <c r="G136" i="17"/>
  <c r="G138" i="17" s="1"/>
  <c r="AA132" i="17"/>
  <c r="T132" i="17"/>
  <c r="Z132" i="17"/>
  <c r="I132" i="17"/>
  <c r="V132" i="17"/>
  <c r="H130" i="17"/>
  <c r="U132" i="17"/>
  <c r="W133" i="4"/>
  <c r="U133" i="17"/>
  <c r="U311" i="4"/>
  <c r="V308" i="4" s="1"/>
  <c r="V311" i="4" s="1"/>
  <c r="W308" i="4" s="1"/>
  <c r="W311" i="4" s="1"/>
  <c r="X308" i="4" s="1"/>
  <c r="X311" i="4" s="1"/>
  <c r="Y308" i="4" s="1"/>
  <c r="Y311" i="4" s="1"/>
  <c r="Z308" i="4" s="1"/>
  <c r="Z311" i="4" s="1"/>
  <c r="AA308" i="4" s="1"/>
  <c r="AA311" i="4" s="1"/>
  <c r="W132" i="4"/>
  <c r="P41" i="18"/>
  <c r="V74" i="8"/>
  <c r="J311" i="17"/>
  <c r="K308" i="17" s="1"/>
  <c r="K311" i="17" s="1"/>
  <c r="L308" i="17" s="1"/>
  <c r="L311" i="17" s="1"/>
  <c r="M308" i="17" s="1"/>
  <c r="M311" i="17" s="1"/>
  <c r="N308" i="17" s="1"/>
  <c r="N311" i="17" s="1"/>
  <c r="O308" i="17" s="1"/>
  <c r="O311" i="17" s="1"/>
  <c r="P308" i="17" s="1"/>
  <c r="P311" i="17" s="1"/>
  <c r="Q308" i="17" s="1"/>
  <c r="Q311" i="17" s="1"/>
  <c r="R308" i="17" s="1"/>
  <c r="R311" i="17" s="1"/>
  <c r="S308" i="17" s="1"/>
  <c r="S311" i="17" s="1"/>
  <c r="T308" i="17" s="1"/>
  <c r="T311" i="17" s="1"/>
  <c r="U308" i="17" s="1"/>
  <c r="U311" i="17" s="1"/>
  <c r="V308" i="17" s="1"/>
  <c r="V311" i="17" s="1"/>
  <c r="W308" i="17" s="1"/>
  <c r="W311" i="17" s="1"/>
  <c r="X308" i="17" s="1"/>
  <c r="X311" i="17" s="1"/>
  <c r="Y308" i="17" s="1"/>
  <c r="Y311" i="17" s="1"/>
  <c r="Z308" i="17" s="1"/>
  <c r="Z311" i="17" s="1"/>
  <c r="AA308" i="17" s="1"/>
  <c r="AA311" i="17" s="1"/>
  <c r="V133" i="17"/>
  <c r="M133" i="17"/>
  <c r="J132" i="17"/>
  <c r="J133" i="17"/>
  <c r="O132" i="17"/>
  <c r="S132" i="17"/>
  <c r="V43" i="17"/>
  <c r="W42" i="17"/>
  <c r="L42" i="17"/>
  <c r="I42" i="17"/>
  <c r="S42" i="17"/>
  <c r="H132" i="17"/>
  <c r="N87" i="1"/>
  <c r="L52" i="16" s="1"/>
  <c r="N92" i="1"/>
  <c r="N93" i="1"/>
  <c r="L50" i="16" s="1"/>
  <c r="N133" i="1"/>
  <c r="P60" i="18" s="1"/>
  <c r="L45" i="16"/>
  <c r="N91" i="1"/>
  <c r="P132" i="17"/>
  <c r="L87" i="1"/>
  <c r="J52" i="16" s="1"/>
  <c r="J45" i="16"/>
  <c r="L133" i="1"/>
  <c r="N60" i="18" s="1"/>
  <c r="L92" i="1"/>
  <c r="L91" i="1"/>
  <c r="L93" i="1"/>
  <c r="J50" i="16" s="1"/>
  <c r="T42" i="4"/>
  <c r="H43" i="4"/>
  <c r="R43" i="4"/>
  <c r="J235" i="17"/>
  <c r="K232" i="17" s="1"/>
  <c r="K235" i="17" s="1"/>
  <c r="L232" i="17" s="1"/>
  <c r="L235" i="17" s="1"/>
  <c r="M232" i="17" s="1"/>
  <c r="M235" i="17" s="1"/>
  <c r="N232" i="17" s="1"/>
  <c r="N235" i="17" s="1"/>
  <c r="O232" i="17" s="1"/>
  <c r="O235" i="17" s="1"/>
  <c r="P232" i="17" s="1"/>
  <c r="P235" i="17" s="1"/>
  <c r="Q232" i="17" s="1"/>
  <c r="Q235" i="17" s="1"/>
  <c r="R232" i="17" s="1"/>
  <c r="R235" i="17" s="1"/>
  <c r="S232" i="17" s="1"/>
  <c r="S235" i="17" s="1"/>
  <c r="T232" i="17" s="1"/>
  <c r="T235" i="17" s="1"/>
  <c r="U232" i="17" s="1"/>
  <c r="U235" i="17" s="1"/>
  <c r="V232" i="17" s="1"/>
  <c r="V235" i="17" s="1"/>
  <c r="W232" i="17" s="1"/>
  <c r="W235" i="17" s="1"/>
  <c r="X232" i="17" s="1"/>
  <c r="X235" i="17" s="1"/>
  <c r="Y232" i="17" s="1"/>
  <c r="Y235" i="17" s="1"/>
  <c r="Z232" i="17" s="1"/>
  <c r="Z235" i="17" s="1"/>
  <c r="AA232" i="17" s="1"/>
  <c r="AA235" i="17" s="1"/>
  <c r="X42" i="17"/>
  <c r="J43" i="17"/>
  <c r="R42" i="17"/>
  <c r="N42" i="4"/>
  <c r="K42" i="17"/>
  <c r="U42" i="4"/>
  <c r="V43" i="4"/>
  <c r="V44" i="4" s="1"/>
  <c r="X42" i="4"/>
  <c r="I42" i="4"/>
  <c r="U42" i="17"/>
  <c r="Y42" i="4"/>
  <c r="Z42" i="17"/>
  <c r="M42" i="4"/>
  <c r="P42" i="17"/>
  <c r="H42" i="4"/>
  <c r="AA132" i="4"/>
  <c r="S42" i="4"/>
  <c r="V131" i="4"/>
  <c r="V167" i="4"/>
  <c r="U41" i="4"/>
  <c r="U77" i="4"/>
  <c r="I77" i="4"/>
  <c r="I41" i="4"/>
  <c r="Y131" i="17"/>
  <c r="Y167" i="17"/>
  <c r="Z131" i="4"/>
  <c r="Z167" i="4"/>
  <c r="Y42" i="17"/>
  <c r="M41" i="4"/>
  <c r="M77" i="4"/>
  <c r="I167" i="17"/>
  <c r="I131" i="17"/>
  <c r="T131" i="17"/>
  <c r="T167" i="17"/>
  <c r="Z43" i="17"/>
  <c r="H133" i="17"/>
  <c r="V132" i="4"/>
  <c r="H131" i="17"/>
  <c r="W132" i="17"/>
  <c r="AA133" i="17"/>
  <c r="N131" i="4"/>
  <c r="N167" i="4"/>
  <c r="X131" i="4"/>
  <c r="X167" i="4"/>
  <c r="P131" i="4"/>
  <c r="P167" i="4"/>
  <c r="Y77" i="4"/>
  <c r="Y41" i="4"/>
  <c r="T133" i="17"/>
  <c r="M131" i="4"/>
  <c r="M167" i="4"/>
  <c r="S77" i="4"/>
  <c r="S41" i="4"/>
  <c r="O131" i="4"/>
  <c r="O167" i="4"/>
  <c r="AA77" i="4"/>
  <c r="AA41" i="4"/>
  <c r="U131" i="4"/>
  <c r="U167" i="4"/>
  <c r="K77" i="4"/>
  <c r="K41" i="4"/>
  <c r="Y131" i="4"/>
  <c r="Y167" i="4"/>
  <c r="L167" i="17"/>
  <c r="L131" i="17"/>
  <c r="T131" i="4"/>
  <c r="T167" i="4"/>
  <c r="S131" i="4"/>
  <c r="S167" i="4"/>
  <c r="W77" i="4"/>
  <c r="W41" i="4"/>
  <c r="Y133" i="17"/>
  <c r="U77" i="17"/>
  <c r="U41" i="17"/>
  <c r="N131" i="17"/>
  <c r="N167" i="17"/>
  <c r="N133" i="17"/>
  <c r="P43" i="4"/>
  <c r="O42" i="4"/>
  <c r="V42" i="17"/>
  <c r="N42" i="17"/>
  <c r="O42" i="17"/>
  <c r="R42" i="4"/>
  <c r="R133" i="17"/>
  <c r="I133" i="17"/>
  <c r="Y132" i="4"/>
  <c r="S133" i="17"/>
  <c r="X132" i="17"/>
  <c r="O133" i="17"/>
  <c r="Q41" i="4"/>
  <c r="Q77" i="4"/>
  <c r="W131" i="17"/>
  <c r="W167" i="17"/>
  <c r="H130" i="4"/>
  <c r="H166" i="4"/>
  <c r="L290" i="17"/>
  <c r="M287" i="17" s="1"/>
  <c r="M290" i="17" s="1"/>
  <c r="N287" i="17" s="1"/>
  <c r="N290" i="17" s="1"/>
  <c r="O287" i="17" s="1"/>
  <c r="O290" i="17" s="1"/>
  <c r="P287" i="17" s="1"/>
  <c r="P290" i="17" s="1"/>
  <c r="Q287" i="17" s="1"/>
  <c r="Q290" i="17" s="1"/>
  <c r="R287" i="17" s="1"/>
  <c r="R290" i="17" s="1"/>
  <c r="S287" i="17" s="1"/>
  <c r="S290" i="17" s="1"/>
  <c r="T287" i="17" s="1"/>
  <c r="T290" i="17" s="1"/>
  <c r="U287" i="17" s="1"/>
  <c r="U290" i="17" s="1"/>
  <c r="V287" i="17" s="1"/>
  <c r="V290" i="17" s="1"/>
  <c r="W287" i="17" s="1"/>
  <c r="W290" i="17" s="1"/>
  <c r="X287" i="17" s="1"/>
  <c r="X290" i="17" s="1"/>
  <c r="Y287" i="17" s="1"/>
  <c r="Y290" i="17" s="1"/>
  <c r="Z287" i="17" s="1"/>
  <c r="Z290" i="17" s="1"/>
  <c r="AA287" i="17" s="1"/>
  <c r="AA290" i="17" s="1"/>
  <c r="R131" i="17"/>
  <c r="R167" i="17"/>
  <c r="U132" i="4"/>
  <c r="AA42" i="17"/>
  <c r="L158" i="4"/>
  <c r="L181" i="4" s="1"/>
  <c r="J42" i="17"/>
  <c r="Q133" i="17"/>
  <c r="T132" i="4"/>
  <c r="P163" i="17"/>
  <c r="P133" i="17"/>
  <c r="X163" i="17"/>
  <c r="X133" i="17"/>
  <c r="N154" i="1"/>
  <c r="P81" i="18" s="1"/>
  <c r="L154" i="1"/>
  <c r="N81" i="18" s="1"/>
  <c r="P84" i="18"/>
  <c r="K163" i="17"/>
  <c r="K133" i="17"/>
  <c r="Z163" i="17"/>
  <c r="Z133" i="17"/>
  <c r="M43" i="17"/>
  <c r="M42" i="17"/>
  <c r="I214" i="17"/>
  <c r="J211" i="17" s="1"/>
  <c r="J214" i="17" s="1"/>
  <c r="K211" i="17" s="1"/>
  <c r="K214" i="17" s="1"/>
  <c r="L211" i="17" s="1"/>
  <c r="L214" i="17" s="1"/>
  <c r="M211" i="17" s="1"/>
  <c r="M214" i="17" s="1"/>
  <c r="N211" i="17" s="1"/>
  <c r="N214" i="17" s="1"/>
  <c r="O211" i="17" s="1"/>
  <c r="O214" i="17" s="1"/>
  <c r="P211" i="17" s="1"/>
  <c r="P214" i="17" s="1"/>
  <c r="Q211" i="17" s="1"/>
  <c r="Q214" i="17" s="1"/>
  <c r="R211" i="17" s="1"/>
  <c r="R214" i="17" s="1"/>
  <c r="S211" i="17" s="1"/>
  <c r="S214" i="17" s="1"/>
  <c r="T211" i="17" s="1"/>
  <c r="T214" i="17" s="1"/>
  <c r="U211" i="17" s="1"/>
  <c r="U214" i="17" s="1"/>
  <c r="V211" i="17" s="1"/>
  <c r="V214" i="17" s="1"/>
  <c r="W211" i="17" s="1"/>
  <c r="W214" i="17" s="1"/>
  <c r="X211" i="17" s="1"/>
  <c r="X214" i="17" s="1"/>
  <c r="Y211" i="17" s="1"/>
  <c r="Y214" i="17" s="1"/>
  <c r="Z211" i="17" s="1"/>
  <c r="Z214" i="17" s="1"/>
  <c r="AA211" i="17" s="1"/>
  <c r="AA214" i="17" s="1"/>
  <c r="Z132" i="4"/>
  <c r="V133" i="4"/>
  <c r="L163" i="17"/>
  <c r="L133" i="17"/>
  <c r="W163" i="17"/>
  <c r="W133" i="17"/>
  <c r="T162" i="4"/>
  <c r="T133" i="4"/>
  <c r="K42" i="4"/>
  <c r="T43" i="4"/>
  <c r="U162" i="4"/>
  <c r="U133" i="4"/>
  <c r="X162" i="4"/>
  <c r="X133" i="4"/>
  <c r="I290" i="4"/>
  <c r="J287" i="4" s="1"/>
  <c r="J290" i="4" s="1"/>
  <c r="K287" i="4" s="1"/>
  <c r="K290" i="4" s="1"/>
  <c r="L287" i="4" s="1"/>
  <c r="L290" i="4" s="1"/>
  <c r="M287" i="4" s="1"/>
  <c r="M290" i="4" s="1"/>
  <c r="N287" i="4" s="1"/>
  <c r="N290" i="4" s="1"/>
  <c r="O287" i="4" s="1"/>
  <c r="O290" i="4" s="1"/>
  <c r="P287" i="4" s="1"/>
  <c r="P290" i="4" s="1"/>
  <c r="Q287" i="4" s="1"/>
  <c r="Q290" i="4" s="1"/>
  <c r="R287" i="4" s="1"/>
  <c r="R290" i="4" s="1"/>
  <c r="S287" i="4" s="1"/>
  <c r="S290" i="4" s="1"/>
  <c r="T287" i="4" s="1"/>
  <c r="T290" i="4" s="1"/>
  <c r="U287" i="4" s="1"/>
  <c r="U290" i="4" s="1"/>
  <c r="V287" i="4" s="1"/>
  <c r="V290" i="4" s="1"/>
  <c r="W287" i="4" s="1"/>
  <c r="W290" i="4" s="1"/>
  <c r="X287" i="4" s="1"/>
  <c r="X290" i="4" s="1"/>
  <c r="Y287" i="4" s="1"/>
  <c r="Y290" i="4" s="1"/>
  <c r="Z287" i="4" s="1"/>
  <c r="Z290" i="4" s="1"/>
  <c r="AA287" i="4" s="1"/>
  <c r="AA290" i="4" s="1"/>
  <c r="O72" i="4"/>
  <c r="O43" i="4"/>
  <c r="Y162" i="4"/>
  <c r="Y133" i="4"/>
  <c r="N43" i="4"/>
  <c r="N44" i="4" s="1"/>
  <c r="P162" i="4"/>
  <c r="Z133" i="4"/>
  <c r="AA133" i="4"/>
  <c r="U93" i="8"/>
  <c r="O41" i="18"/>
  <c r="Y74" i="8"/>
  <c r="V40" i="8" s="1"/>
  <c r="U73" i="4"/>
  <c r="U43" i="4"/>
  <c r="L72" i="17"/>
  <c r="L43" i="17"/>
  <c r="H72" i="17"/>
  <c r="H43" i="17"/>
  <c r="I72" i="17"/>
  <c r="I43" i="17"/>
  <c r="S72" i="17"/>
  <c r="S43" i="17"/>
  <c r="Y72" i="17"/>
  <c r="Y43" i="17"/>
  <c r="X72" i="17"/>
  <c r="X43" i="17"/>
  <c r="J43" i="4"/>
  <c r="N43" i="17"/>
  <c r="Z43" i="4"/>
  <c r="P72" i="17"/>
  <c r="P43" i="17"/>
  <c r="Q72" i="17"/>
  <c r="Q43" i="17"/>
  <c r="Y73" i="4"/>
  <c r="Y43" i="4"/>
  <c r="AA73" i="4"/>
  <c r="AA43" i="4"/>
  <c r="R72" i="17"/>
  <c r="R43" i="17"/>
  <c r="AA72" i="17"/>
  <c r="AA43" i="17"/>
  <c r="W72" i="17"/>
  <c r="W43" i="17"/>
  <c r="W44" i="17" s="1"/>
  <c r="X73" i="4"/>
  <c r="X43" i="4"/>
  <c r="X44" i="4" s="1"/>
  <c r="W73" i="4"/>
  <c r="W43" i="4"/>
  <c r="K235" i="4"/>
  <c r="L232" i="4" s="1"/>
  <c r="L235" i="4" s="1"/>
  <c r="M232" i="4" s="1"/>
  <c r="M235" i="4" s="1"/>
  <c r="N232" i="4" s="1"/>
  <c r="N235" i="4" s="1"/>
  <c r="O232" i="4" s="1"/>
  <c r="O235" i="4" s="1"/>
  <c r="P232" i="4" s="1"/>
  <c r="P235" i="4" s="1"/>
  <c r="Q232" i="4" s="1"/>
  <c r="Q235" i="4" s="1"/>
  <c r="R232" i="4" s="1"/>
  <c r="R235" i="4" s="1"/>
  <c r="S232" i="4" s="1"/>
  <c r="S235" i="4" s="1"/>
  <c r="T232" i="4" s="1"/>
  <c r="T235" i="4" s="1"/>
  <c r="U232" i="4" s="1"/>
  <c r="U235" i="4" s="1"/>
  <c r="V232" i="4" s="1"/>
  <c r="V235" i="4" s="1"/>
  <c r="W232" i="4" s="1"/>
  <c r="W235" i="4" s="1"/>
  <c r="X232" i="4" s="1"/>
  <c r="X235" i="4" s="1"/>
  <c r="Y232" i="4" s="1"/>
  <c r="Y235" i="4" s="1"/>
  <c r="Z232" i="4" s="1"/>
  <c r="Z235" i="4" s="1"/>
  <c r="AA232" i="4" s="1"/>
  <c r="AA235" i="4" s="1"/>
  <c r="O72" i="17"/>
  <c r="O43" i="17"/>
  <c r="T72" i="17"/>
  <c r="T43" i="17"/>
  <c r="T44" i="17" s="1"/>
  <c r="Q73" i="4"/>
  <c r="Q43" i="4"/>
  <c r="H42" i="17"/>
  <c r="I73" i="4"/>
  <c r="I43" i="4"/>
  <c r="U72" i="17"/>
  <c r="U43" i="17"/>
  <c r="M73" i="4"/>
  <c r="M43" i="4"/>
  <c r="K73" i="4"/>
  <c r="K43" i="4"/>
  <c r="I287" i="7"/>
  <c r="J147" i="7"/>
  <c r="J99" i="7"/>
  <c r="H98" i="7"/>
  <c r="H99" i="7" s="1"/>
  <c r="L187" i="7" l="1"/>
  <c r="L192" i="7"/>
  <c r="L141" i="7"/>
  <c r="L146" i="7"/>
  <c r="L73" i="4"/>
  <c r="L43" i="4"/>
  <c r="L44" i="4" s="1"/>
  <c r="L47" i="7"/>
  <c r="L52" i="7"/>
  <c r="R44" i="17"/>
  <c r="K286" i="7"/>
  <c r="K281" i="7"/>
  <c r="K287" i="7" s="1"/>
  <c r="H44" i="4"/>
  <c r="C22" i="9"/>
  <c r="K21" i="9"/>
  <c r="L29" i="7" s="1"/>
  <c r="O21" i="9"/>
  <c r="L217" i="7" s="1"/>
  <c r="N21" i="9"/>
  <c r="M21" i="9"/>
  <c r="L123" i="7" s="1"/>
  <c r="P21" i="9"/>
  <c r="L263" i="7" s="1"/>
  <c r="L21" i="9"/>
  <c r="L75" i="7" s="1"/>
  <c r="L30" i="7"/>
  <c r="L215" i="7"/>
  <c r="L214" i="7" s="1"/>
  <c r="L220" i="7" s="1"/>
  <c r="L124" i="7"/>
  <c r="M218" i="7"/>
  <c r="L169" i="7"/>
  <c r="M170" i="7"/>
  <c r="L261" i="7"/>
  <c r="L260" i="7" s="1"/>
  <c r="L266" i="7" s="1"/>
  <c r="M215" i="7"/>
  <c r="M214" i="7" s="1"/>
  <c r="M220" i="7" s="1"/>
  <c r="M264" i="7"/>
  <c r="L73" i="7"/>
  <c r="L72" i="7" s="1"/>
  <c r="L78" i="7" s="1"/>
  <c r="L170" i="7"/>
  <c r="L218" i="7"/>
  <c r="K93" i="7"/>
  <c r="K99" i="7" s="1"/>
  <c r="K98" i="7"/>
  <c r="M134" i="17"/>
  <c r="K44" i="17"/>
  <c r="Q44" i="4"/>
  <c r="P44" i="4"/>
  <c r="Z44" i="4"/>
  <c r="AA44" i="4"/>
  <c r="Q44" i="17"/>
  <c r="S44" i="4"/>
  <c r="Z134" i="17"/>
  <c r="AA134" i="17"/>
  <c r="G321" i="4"/>
  <c r="N49" i="1"/>
  <c r="L33" i="16" s="1"/>
  <c r="G321" i="17"/>
  <c r="V134" i="17"/>
  <c r="R134" i="17"/>
  <c r="U134" i="17"/>
  <c r="W134" i="4"/>
  <c r="U44" i="17"/>
  <c r="I44" i="17"/>
  <c r="T44" i="4"/>
  <c r="X44" i="17"/>
  <c r="R44" i="4"/>
  <c r="J134" i="17"/>
  <c r="V134" i="4"/>
  <c r="P134" i="17"/>
  <c r="S134" i="17"/>
  <c r="O134" i="17"/>
  <c r="P24" i="18"/>
  <c r="V76" i="8"/>
  <c r="P26" i="18" s="1"/>
  <c r="K134" i="17"/>
  <c r="V44" i="17"/>
  <c r="S44" i="17"/>
  <c r="L134" i="17"/>
  <c r="J49" i="16"/>
  <c r="L118" i="1"/>
  <c r="J72" i="16" s="1"/>
  <c r="L44" i="17"/>
  <c r="J44" i="17"/>
  <c r="H134" i="17"/>
  <c r="J48" i="16"/>
  <c r="L117" i="1"/>
  <c r="L94" i="1"/>
  <c r="L51" i="1" s="1"/>
  <c r="J42" i="16" s="1"/>
  <c r="X134" i="17"/>
  <c r="Y134" i="17"/>
  <c r="N94" i="1"/>
  <c r="L48" i="16"/>
  <c r="N117" i="1"/>
  <c r="L49" i="16"/>
  <c r="N118" i="1"/>
  <c r="L72" i="16" s="1"/>
  <c r="J44" i="4"/>
  <c r="AA44" i="17"/>
  <c r="H44" i="17"/>
  <c r="U44" i="4"/>
  <c r="Z44" i="17"/>
  <c r="N44" i="17"/>
  <c r="N134" i="17"/>
  <c r="P44" i="17"/>
  <c r="Y134" i="4"/>
  <c r="I134" i="17"/>
  <c r="W134" i="17"/>
  <c r="O44" i="17"/>
  <c r="AA134" i="4"/>
  <c r="Q134" i="17"/>
  <c r="T134" i="17"/>
  <c r="X134" i="4"/>
  <c r="M44" i="17"/>
  <c r="Y44" i="17"/>
  <c r="O44" i="4"/>
  <c r="T134" i="4"/>
  <c r="M44" i="4"/>
  <c r="I44" i="4"/>
  <c r="W44" i="4"/>
  <c r="Y44" i="4"/>
  <c r="U134" i="4"/>
  <c r="Z134" i="4"/>
  <c r="K44" i="4"/>
  <c r="Y76" i="8"/>
  <c r="S26" i="18" s="1"/>
  <c r="S24" i="18"/>
  <c r="L93" i="7" l="1"/>
  <c r="L98" i="7"/>
  <c r="M235" i="7"/>
  <c r="M240" i="7"/>
  <c r="M241" i="7" s="1"/>
  <c r="C23" i="9"/>
  <c r="L22" i="9"/>
  <c r="M75" i="7" s="1"/>
  <c r="O22" i="9"/>
  <c r="M22" i="9"/>
  <c r="M123" i="7" s="1"/>
  <c r="K22" i="9"/>
  <c r="M29" i="7" s="1"/>
  <c r="N22" i="9"/>
  <c r="P22" i="9"/>
  <c r="M263" i="7" s="1"/>
  <c r="M124" i="7"/>
  <c r="N261" i="7"/>
  <c r="N260" i="7" s="1"/>
  <c r="N266" i="7" s="1"/>
  <c r="M76" i="7"/>
  <c r="N30" i="7"/>
  <c r="N76" i="7"/>
  <c r="M27" i="7"/>
  <c r="M26" i="7" s="1"/>
  <c r="M32" i="7" s="1"/>
  <c r="M167" i="7"/>
  <c r="M166" i="7" s="1"/>
  <c r="M172" i="7" s="1"/>
  <c r="M30" i="7"/>
  <c r="L193" i="7"/>
  <c r="M217" i="7"/>
  <c r="N27" i="7"/>
  <c r="N26" i="7" s="1"/>
  <c r="N32" i="7" s="1"/>
  <c r="M261" i="7"/>
  <c r="M260" i="7" s="1"/>
  <c r="M266" i="7" s="1"/>
  <c r="M121" i="7"/>
  <c r="M120" i="7" s="1"/>
  <c r="M126" i="7" s="1"/>
  <c r="L286" i="7"/>
  <c r="L281" i="7"/>
  <c r="L287" i="7" s="1"/>
  <c r="L235" i="7"/>
  <c r="L240" i="7"/>
  <c r="M73" i="7"/>
  <c r="M72" i="7" s="1"/>
  <c r="M78" i="7" s="1"/>
  <c r="M169" i="7"/>
  <c r="L53" i="7"/>
  <c r="L147" i="7"/>
  <c r="N51" i="1"/>
  <c r="L42" i="16" s="1"/>
  <c r="H324" i="4"/>
  <c r="P324" i="4"/>
  <c r="I325" i="4"/>
  <c r="N324" i="4"/>
  <c r="S325" i="4"/>
  <c r="J325" i="4"/>
  <c r="N325" i="4"/>
  <c r="I324" i="4"/>
  <c r="O324" i="4"/>
  <c r="O325" i="4"/>
  <c r="J324" i="4"/>
  <c r="P325" i="4"/>
  <c r="K325" i="4"/>
  <c r="Q325" i="4"/>
  <c r="S324" i="4"/>
  <c r="K324" i="4"/>
  <c r="Q324" i="4"/>
  <c r="L324" i="4"/>
  <c r="L325" i="4"/>
  <c r="R324" i="4"/>
  <c r="H325" i="4"/>
  <c r="M324" i="4"/>
  <c r="R325" i="4"/>
  <c r="M325" i="4"/>
  <c r="G47" i="17"/>
  <c r="G49" i="17" s="1"/>
  <c r="G50" i="17" s="1"/>
  <c r="L60" i="17" s="1"/>
  <c r="L62" i="17" s="1"/>
  <c r="L66" i="17" s="1"/>
  <c r="L70" i="17" s="1"/>
  <c r="L79" i="17" s="1"/>
  <c r="L81" i="17" s="1"/>
  <c r="L83" i="17" s="1"/>
  <c r="L90" i="17" s="1"/>
  <c r="L97" i="17" s="1"/>
  <c r="J71" i="16"/>
  <c r="L121" i="1"/>
  <c r="N121" i="1"/>
  <c r="L71" i="16"/>
  <c r="G137" i="17"/>
  <c r="G139" i="17" s="1"/>
  <c r="G140" i="17" s="1"/>
  <c r="Y150" i="17" s="1"/>
  <c r="Y152" i="17" s="1"/>
  <c r="Y156" i="17" s="1"/>
  <c r="Y160" i="17" s="1"/>
  <c r="Y169" i="17" s="1"/>
  <c r="Y171" i="17" s="1"/>
  <c r="Y173" i="17" s="1"/>
  <c r="Y180" i="17" s="1"/>
  <c r="Y187" i="17" s="1"/>
  <c r="G47" i="4"/>
  <c r="G49" i="4" s="1"/>
  <c r="G50" i="4" s="1"/>
  <c r="W60" i="4" s="1"/>
  <c r="W62" i="4" s="1"/>
  <c r="W66" i="4" s="1"/>
  <c r="W70" i="4" s="1"/>
  <c r="W79" i="4" s="1"/>
  <c r="W81" i="4" s="1"/>
  <c r="W83" i="4" s="1"/>
  <c r="W90" i="4" s="1"/>
  <c r="W97" i="4" s="1"/>
  <c r="M141" i="7" l="1"/>
  <c r="M146" i="7"/>
  <c r="M147" i="7" s="1"/>
  <c r="N281" i="7"/>
  <c r="N286" i="7"/>
  <c r="N287" i="7" s="1"/>
  <c r="M93" i="7"/>
  <c r="M98" i="7"/>
  <c r="M281" i="7"/>
  <c r="M286" i="7"/>
  <c r="N47" i="7"/>
  <c r="N52" i="7"/>
  <c r="N53" i="7" s="1"/>
  <c r="M47" i="7"/>
  <c r="M52" i="7"/>
  <c r="L241" i="7"/>
  <c r="M187" i="7"/>
  <c r="M192" i="7"/>
  <c r="M193" i="7" s="1"/>
  <c r="C24" i="9"/>
  <c r="O23" i="9"/>
  <c r="L23" i="9"/>
  <c r="M23" i="9"/>
  <c r="N123" i="7" s="1"/>
  <c r="N23" i="9"/>
  <c r="N169" i="7" s="1"/>
  <c r="P23" i="9"/>
  <c r="K23" i="9"/>
  <c r="N29" i="7" s="1"/>
  <c r="N218" i="7"/>
  <c r="N121" i="7"/>
  <c r="N120" i="7" s="1"/>
  <c r="N126" i="7" s="1"/>
  <c r="N217" i="7"/>
  <c r="N167" i="7"/>
  <c r="N166" i="7" s="1"/>
  <c r="N172" i="7" s="1"/>
  <c r="O215" i="7"/>
  <c r="O214" i="7" s="1"/>
  <c r="O220" i="7" s="1"/>
  <c r="O218" i="7"/>
  <c r="N263" i="7"/>
  <c r="N170" i="7"/>
  <c r="N215" i="7"/>
  <c r="N214" i="7" s="1"/>
  <c r="N220" i="7" s="1"/>
  <c r="N124" i="7"/>
  <c r="N75" i="7"/>
  <c r="N73" i="7"/>
  <c r="N72" i="7" s="1"/>
  <c r="N78" i="7" s="1"/>
  <c r="N264" i="7"/>
  <c r="L99" i="7"/>
  <c r="R60" i="17"/>
  <c r="R62" i="17" s="1"/>
  <c r="R66" i="17" s="1"/>
  <c r="R70" i="17" s="1"/>
  <c r="R79" i="17" s="1"/>
  <c r="R81" i="17" s="1"/>
  <c r="R83" i="17" s="1"/>
  <c r="R90" i="17" s="1"/>
  <c r="R97" i="17" s="1"/>
  <c r="N60" i="17"/>
  <c r="N62" i="17" s="1"/>
  <c r="N66" i="17" s="1"/>
  <c r="N70" i="17" s="1"/>
  <c r="N79" i="17" s="1"/>
  <c r="N81" i="17" s="1"/>
  <c r="N83" i="17" s="1"/>
  <c r="N90" i="17" s="1"/>
  <c r="N97" i="17" s="1"/>
  <c r="K60" i="17"/>
  <c r="K62" i="17" s="1"/>
  <c r="K66" i="17" s="1"/>
  <c r="K70" i="17" s="1"/>
  <c r="K79" i="17" s="1"/>
  <c r="K81" i="17" s="1"/>
  <c r="K83" i="17" s="1"/>
  <c r="K90" i="17" s="1"/>
  <c r="K97" i="17" s="1"/>
  <c r="W60" i="17"/>
  <c r="W62" i="17" s="1"/>
  <c r="W66" i="17" s="1"/>
  <c r="W70" i="17" s="1"/>
  <c r="W79" i="17" s="1"/>
  <c r="W81" i="17" s="1"/>
  <c r="W83" i="17" s="1"/>
  <c r="W90" i="17" s="1"/>
  <c r="W97" i="17" s="1"/>
  <c r="L64" i="1"/>
  <c r="N48" i="18" s="1"/>
  <c r="H60" i="17"/>
  <c r="H62" i="17" s="1"/>
  <c r="H66" i="17" s="1"/>
  <c r="H70" i="17" s="1"/>
  <c r="H79" i="17" s="1"/>
  <c r="H81" i="17" s="1"/>
  <c r="H83" i="17" s="1"/>
  <c r="H90" i="17" s="1"/>
  <c r="H97" i="17" s="1"/>
  <c r="S60" i="17"/>
  <c r="S62" i="17" s="1"/>
  <c r="S66" i="17" s="1"/>
  <c r="S70" i="17" s="1"/>
  <c r="S79" i="17" s="1"/>
  <c r="S81" i="17" s="1"/>
  <c r="S83" i="17" s="1"/>
  <c r="S90" i="17" s="1"/>
  <c r="S97" i="17" s="1"/>
  <c r="O60" i="17"/>
  <c r="O62" i="17" s="1"/>
  <c r="O66" i="17" s="1"/>
  <c r="O70" i="17" s="1"/>
  <c r="O79" i="17" s="1"/>
  <c r="O81" i="17" s="1"/>
  <c r="O83" i="17" s="1"/>
  <c r="O90" i="17" s="1"/>
  <c r="O97" i="17" s="1"/>
  <c r="J60" i="17"/>
  <c r="J62" i="17" s="1"/>
  <c r="J66" i="17" s="1"/>
  <c r="J70" i="17" s="1"/>
  <c r="J79" i="17" s="1"/>
  <c r="J81" i="17" s="1"/>
  <c r="J83" i="17" s="1"/>
  <c r="J90" i="17" s="1"/>
  <c r="J97" i="17" s="1"/>
  <c r="T60" i="17"/>
  <c r="T62" i="17" s="1"/>
  <c r="T66" i="17" s="1"/>
  <c r="T70" i="17" s="1"/>
  <c r="T79" i="17" s="1"/>
  <c r="T81" i="17" s="1"/>
  <c r="T83" i="17" s="1"/>
  <c r="T90" i="17" s="1"/>
  <c r="T97" i="17" s="1"/>
  <c r="P60" i="17"/>
  <c r="P62" i="17" s="1"/>
  <c r="P66" i="17" s="1"/>
  <c r="P70" i="17" s="1"/>
  <c r="P79" i="17" s="1"/>
  <c r="P81" i="17" s="1"/>
  <c r="P83" i="17" s="1"/>
  <c r="P90" i="17" s="1"/>
  <c r="P97" i="17" s="1"/>
  <c r="I60" i="17"/>
  <c r="I62" i="17" s="1"/>
  <c r="I66" i="17" s="1"/>
  <c r="I70" i="17" s="1"/>
  <c r="I79" i="17" s="1"/>
  <c r="I81" i="17" s="1"/>
  <c r="I83" i="17" s="1"/>
  <c r="I90" i="17" s="1"/>
  <c r="I97" i="17" s="1"/>
  <c r="X60" i="17"/>
  <c r="X62" i="17" s="1"/>
  <c r="X66" i="17" s="1"/>
  <c r="X70" i="17" s="1"/>
  <c r="X79" i="17" s="1"/>
  <c r="X81" i="17" s="1"/>
  <c r="X83" i="17" s="1"/>
  <c r="X90" i="17" s="1"/>
  <c r="X97" i="17" s="1"/>
  <c r="Q60" i="17"/>
  <c r="Q62" i="17" s="1"/>
  <c r="Q66" i="17" s="1"/>
  <c r="Q70" i="17" s="1"/>
  <c r="Q79" i="17" s="1"/>
  <c r="Q81" i="17" s="1"/>
  <c r="Q83" i="17" s="1"/>
  <c r="Q90" i="17" s="1"/>
  <c r="Q97" i="17" s="1"/>
  <c r="V60" i="17"/>
  <c r="V62" i="17" s="1"/>
  <c r="V66" i="17" s="1"/>
  <c r="V70" i="17" s="1"/>
  <c r="V79" i="17" s="1"/>
  <c r="V81" i="17" s="1"/>
  <c r="V83" i="17" s="1"/>
  <c r="V90" i="17" s="1"/>
  <c r="V97" i="17" s="1"/>
  <c r="AA60" i="17"/>
  <c r="AA62" i="17" s="1"/>
  <c r="AA66" i="17" s="1"/>
  <c r="AA70" i="17" s="1"/>
  <c r="AA79" i="17" s="1"/>
  <c r="AA81" i="17" s="1"/>
  <c r="AA83" i="17" s="1"/>
  <c r="AA90" i="17" s="1"/>
  <c r="AA97" i="17" s="1"/>
  <c r="Y60" i="17"/>
  <c r="Y62" i="17" s="1"/>
  <c r="Y66" i="17" s="1"/>
  <c r="Y70" i="17" s="1"/>
  <c r="Y79" i="17" s="1"/>
  <c r="Y81" i="17" s="1"/>
  <c r="Y83" i="17" s="1"/>
  <c r="Y90" i="17" s="1"/>
  <c r="Y97" i="17" s="1"/>
  <c r="U60" i="17"/>
  <c r="U62" i="17" s="1"/>
  <c r="U66" i="17" s="1"/>
  <c r="U70" i="17" s="1"/>
  <c r="U79" i="17" s="1"/>
  <c r="U81" i="17" s="1"/>
  <c r="U83" i="17" s="1"/>
  <c r="U90" i="17" s="1"/>
  <c r="U97" i="17" s="1"/>
  <c r="S150" i="17"/>
  <c r="S152" i="17" s="1"/>
  <c r="S156" i="17" s="1"/>
  <c r="S160" i="17" s="1"/>
  <c r="S169" i="17" s="1"/>
  <c r="S171" i="17" s="1"/>
  <c r="S173" i="17" s="1"/>
  <c r="S180" i="17" s="1"/>
  <c r="S187" i="17" s="1"/>
  <c r="R331" i="4"/>
  <c r="R185" i="4"/>
  <c r="L331" i="4"/>
  <c r="L185" i="4"/>
  <c r="S120" i="4"/>
  <c r="S326" i="4"/>
  <c r="S132" i="4" s="1"/>
  <c r="J120" i="4"/>
  <c r="J326" i="4"/>
  <c r="J132" i="4" s="1"/>
  <c r="N331" i="4"/>
  <c r="N185" i="4"/>
  <c r="I331" i="4"/>
  <c r="I185" i="4"/>
  <c r="M331" i="4"/>
  <c r="M185" i="4"/>
  <c r="R120" i="4"/>
  <c r="R326" i="4"/>
  <c r="R132" i="4" s="1"/>
  <c r="K120" i="4"/>
  <c r="K326" i="4"/>
  <c r="K132" i="4" s="1"/>
  <c r="P331" i="4"/>
  <c r="P185" i="4"/>
  <c r="I120" i="4"/>
  <c r="I326" i="4"/>
  <c r="I132" i="4" s="1"/>
  <c r="N120" i="4"/>
  <c r="N326" i="4"/>
  <c r="N132" i="4" s="1"/>
  <c r="M120" i="4"/>
  <c r="M326" i="4"/>
  <c r="M132" i="4" s="1"/>
  <c r="L120" i="4"/>
  <c r="L326" i="4"/>
  <c r="L132" i="4" s="1"/>
  <c r="Q331" i="4"/>
  <c r="Q185" i="4"/>
  <c r="O331" i="4"/>
  <c r="O185" i="4"/>
  <c r="J331" i="4"/>
  <c r="J185" i="4"/>
  <c r="P326" i="4"/>
  <c r="P132" i="4" s="1"/>
  <c r="P120" i="4"/>
  <c r="H331" i="4"/>
  <c r="H332" i="4" s="1"/>
  <c r="I329" i="4" s="1"/>
  <c r="H185" i="4"/>
  <c r="Q120" i="4"/>
  <c r="Q326" i="4"/>
  <c r="Q132" i="4" s="1"/>
  <c r="K331" i="4"/>
  <c r="K185" i="4"/>
  <c r="O120" i="4"/>
  <c r="O326" i="4"/>
  <c r="O132" i="4" s="1"/>
  <c r="S331" i="4"/>
  <c r="S185" i="4"/>
  <c r="H120" i="4"/>
  <c r="H326" i="4"/>
  <c r="H132" i="4" s="1"/>
  <c r="L65" i="1"/>
  <c r="N49" i="18" s="1"/>
  <c r="H150" i="17"/>
  <c r="H152" i="17" s="1"/>
  <c r="H156" i="17" s="1"/>
  <c r="H160" i="17" s="1"/>
  <c r="H169" i="17" s="1"/>
  <c r="H171" i="17" s="1"/>
  <c r="H173" i="17" s="1"/>
  <c r="H180" i="17" s="1"/>
  <c r="H187" i="17" s="1"/>
  <c r="U150" i="17"/>
  <c r="U152" i="17" s="1"/>
  <c r="U156" i="17" s="1"/>
  <c r="U160" i="17" s="1"/>
  <c r="U169" i="17" s="1"/>
  <c r="U171" i="17" s="1"/>
  <c r="U173" i="17" s="1"/>
  <c r="U180" i="17" s="1"/>
  <c r="U187" i="17" s="1"/>
  <c r="W150" i="17"/>
  <c r="W152" i="17" s="1"/>
  <c r="W156" i="17" s="1"/>
  <c r="W160" i="17" s="1"/>
  <c r="W169" i="17" s="1"/>
  <c r="W171" i="17" s="1"/>
  <c r="W173" i="17" s="1"/>
  <c r="W180" i="17" s="1"/>
  <c r="W187" i="17" s="1"/>
  <c r="O150" i="17"/>
  <c r="O152" i="17" s="1"/>
  <c r="O156" i="17" s="1"/>
  <c r="O160" i="17" s="1"/>
  <c r="O169" i="17" s="1"/>
  <c r="O171" i="17" s="1"/>
  <c r="O173" i="17" s="1"/>
  <c r="O180" i="17" s="1"/>
  <c r="O187" i="17" s="1"/>
  <c r="T150" i="17"/>
  <c r="T152" i="17" s="1"/>
  <c r="T156" i="17" s="1"/>
  <c r="T160" i="17" s="1"/>
  <c r="T169" i="17" s="1"/>
  <c r="T171" i="17" s="1"/>
  <c r="T173" i="17" s="1"/>
  <c r="T180" i="17" s="1"/>
  <c r="T187" i="17" s="1"/>
  <c r="M150" i="17"/>
  <c r="M152" i="17" s="1"/>
  <c r="M156" i="17" s="1"/>
  <c r="M160" i="17" s="1"/>
  <c r="M169" i="17" s="1"/>
  <c r="M171" i="17" s="1"/>
  <c r="M173" i="17" s="1"/>
  <c r="M180" i="17" s="1"/>
  <c r="M187" i="17" s="1"/>
  <c r="R150" i="17"/>
  <c r="R152" i="17" s="1"/>
  <c r="R156" i="17" s="1"/>
  <c r="R160" i="17" s="1"/>
  <c r="R169" i="17" s="1"/>
  <c r="R171" i="17" s="1"/>
  <c r="R173" i="17" s="1"/>
  <c r="R180" i="17" s="1"/>
  <c r="R187" i="17" s="1"/>
  <c r="K150" i="17"/>
  <c r="K152" i="17" s="1"/>
  <c r="K156" i="17" s="1"/>
  <c r="K160" i="17" s="1"/>
  <c r="K169" i="17" s="1"/>
  <c r="K171" i="17" s="1"/>
  <c r="K173" i="17" s="1"/>
  <c r="K180" i="17" s="1"/>
  <c r="K187" i="17" s="1"/>
  <c r="N150" i="17"/>
  <c r="N152" i="17" s="1"/>
  <c r="N156" i="17" s="1"/>
  <c r="N160" i="17" s="1"/>
  <c r="N169" i="17" s="1"/>
  <c r="N171" i="17" s="1"/>
  <c r="N173" i="17" s="1"/>
  <c r="N180" i="17" s="1"/>
  <c r="N187" i="17" s="1"/>
  <c r="V150" i="17"/>
  <c r="V152" i="17" s="1"/>
  <c r="V156" i="17" s="1"/>
  <c r="V160" i="17" s="1"/>
  <c r="V169" i="17" s="1"/>
  <c r="V171" i="17" s="1"/>
  <c r="V173" i="17" s="1"/>
  <c r="V180" i="17" s="1"/>
  <c r="V187" i="17" s="1"/>
  <c r="Q150" i="17"/>
  <c r="Q152" i="17" s="1"/>
  <c r="Q156" i="17" s="1"/>
  <c r="Q160" i="17" s="1"/>
  <c r="Q169" i="17" s="1"/>
  <c r="Q171" i="17" s="1"/>
  <c r="P150" i="17"/>
  <c r="P152" i="17" s="1"/>
  <c r="P156" i="17" s="1"/>
  <c r="P160" i="17" s="1"/>
  <c r="P169" i="17" s="1"/>
  <c r="P171" i="17" s="1"/>
  <c r="P173" i="17" s="1"/>
  <c r="P180" i="17" s="1"/>
  <c r="P187" i="17" s="1"/>
  <c r="L150" i="17"/>
  <c r="L152" i="17" s="1"/>
  <c r="L156" i="17" s="1"/>
  <c r="L160" i="17" s="1"/>
  <c r="L169" i="17" s="1"/>
  <c r="L171" i="17" s="1"/>
  <c r="L173" i="17" s="1"/>
  <c r="L180" i="17" s="1"/>
  <c r="L187" i="17" s="1"/>
  <c r="J150" i="17"/>
  <c r="J152" i="17" s="1"/>
  <c r="J156" i="17" s="1"/>
  <c r="J160" i="17" s="1"/>
  <c r="J169" i="17" s="1"/>
  <c r="J171" i="17" s="1"/>
  <c r="J173" i="17" s="1"/>
  <c r="J180" i="17" s="1"/>
  <c r="J187" i="17" s="1"/>
  <c r="Z150" i="17"/>
  <c r="Z152" i="17" s="1"/>
  <c r="Z156" i="17" s="1"/>
  <c r="Z160" i="17" s="1"/>
  <c r="Z169" i="17" s="1"/>
  <c r="Z171" i="17" s="1"/>
  <c r="Z173" i="17" s="1"/>
  <c r="Z180" i="17" s="1"/>
  <c r="Z187" i="17" s="1"/>
  <c r="I150" i="17"/>
  <c r="I152" i="17" s="1"/>
  <c r="I156" i="17" s="1"/>
  <c r="I160" i="17" s="1"/>
  <c r="I169" i="17" s="1"/>
  <c r="I171" i="17" s="1"/>
  <c r="I173" i="17" s="1"/>
  <c r="I180" i="17" s="1"/>
  <c r="I187" i="17" s="1"/>
  <c r="N65" i="1"/>
  <c r="P49" i="18" s="1"/>
  <c r="N135" i="1"/>
  <c r="P62" i="18" s="1"/>
  <c r="N140" i="1"/>
  <c r="L75" i="16"/>
  <c r="Z60" i="17"/>
  <c r="Z62" i="17" s="1"/>
  <c r="Z66" i="17" s="1"/>
  <c r="Z70" i="17" s="1"/>
  <c r="Z79" i="17" s="1"/>
  <c r="Z81" i="17" s="1"/>
  <c r="Z83" i="17" s="1"/>
  <c r="Z90" i="17" s="1"/>
  <c r="Z97" i="17" s="1"/>
  <c r="X150" i="17"/>
  <c r="X152" i="17" s="1"/>
  <c r="X156" i="17" s="1"/>
  <c r="X160" i="17" s="1"/>
  <c r="X169" i="17" s="1"/>
  <c r="X171" i="17" s="1"/>
  <c r="X173" i="17" s="1"/>
  <c r="X180" i="17" s="1"/>
  <c r="X187" i="17" s="1"/>
  <c r="M60" i="17"/>
  <c r="M62" i="17" s="1"/>
  <c r="M66" i="17" s="1"/>
  <c r="M70" i="17" s="1"/>
  <c r="M79" i="17" s="1"/>
  <c r="M81" i="17" s="1"/>
  <c r="M83" i="17" s="1"/>
  <c r="M90" i="17" s="1"/>
  <c r="M97" i="17" s="1"/>
  <c r="AA150" i="17"/>
  <c r="AA152" i="17" s="1"/>
  <c r="AA156" i="17" s="1"/>
  <c r="AA160" i="17" s="1"/>
  <c r="AA169" i="17" s="1"/>
  <c r="AA171" i="17" s="1"/>
  <c r="AA173" i="17" s="1"/>
  <c r="AA180" i="17" s="1"/>
  <c r="AA187" i="17" s="1"/>
  <c r="L135" i="1"/>
  <c r="N62" i="18" s="1"/>
  <c r="L140" i="1"/>
  <c r="J75" i="16"/>
  <c r="H60" i="4"/>
  <c r="H62" i="4" s="1"/>
  <c r="H66" i="4" s="1"/>
  <c r="H70" i="4" s="1"/>
  <c r="H79" i="4" s="1"/>
  <c r="H81" i="4" s="1"/>
  <c r="Y60" i="4"/>
  <c r="Y62" i="4" s="1"/>
  <c r="Y66" i="4" s="1"/>
  <c r="Y70" i="4" s="1"/>
  <c r="Y79" i="4" s="1"/>
  <c r="Y81" i="4" s="1"/>
  <c r="Y83" i="4" s="1"/>
  <c r="Y90" i="4" s="1"/>
  <c r="Y97" i="4" s="1"/>
  <c r="L60" i="4"/>
  <c r="L62" i="4" s="1"/>
  <c r="L66" i="4" s="1"/>
  <c r="L70" i="4" s="1"/>
  <c r="L79" i="4" s="1"/>
  <c r="L81" i="4" s="1"/>
  <c r="L83" i="4" s="1"/>
  <c r="L90" i="4" s="1"/>
  <c r="L97" i="4" s="1"/>
  <c r="U60" i="4"/>
  <c r="U62" i="4" s="1"/>
  <c r="U66" i="4" s="1"/>
  <c r="U70" i="4" s="1"/>
  <c r="U79" i="4" s="1"/>
  <c r="U81" i="4" s="1"/>
  <c r="U83" i="4" s="1"/>
  <c r="U90" i="4" s="1"/>
  <c r="U97" i="4" s="1"/>
  <c r="T60" i="4"/>
  <c r="T62" i="4" s="1"/>
  <c r="T66" i="4" s="1"/>
  <c r="T70" i="4" s="1"/>
  <c r="T79" i="4" s="1"/>
  <c r="T81" i="4" s="1"/>
  <c r="T83" i="4" s="1"/>
  <c r="T90" i="4" s="1"/>
  <c r="T97" i="4" s="1"/>
  <c r="AA60" i="4"/>
  <c r="AA62" i="4" s="1"/>
  <c r="AA66" i="4" s="1"/>
  <c r="AA70" i="4" s="1"/>
  <c r="AA79" i="4" s="1"/>
  <c r="AA81" i="4" s="1"/>
  <c r="AA83" i="4" s="1"/>
  <c r="AA90" i="4" s="1"/>
  <c r="AA97" i="4" s="1"/>
  <c r="O60" i="4"/>
  <c r="O62" i="4" s="1"/>
  <c r="O66" i="4" s="1"/>
  <c r="O70" i="4" s="1"/>
  <c r="O79" i="4" s="1"/>
  <c r="O81" i="4" s="1"/>
  <c r="O83" i="4" s="1"/>
  <c r="O90" i="4" s="1"/>
  <c r="O97" i="4" s="1"/>
  <c r="V60" i="4"/>
  <c r="V62" i="4" s="1"/>
  <c r="V66" i="4" s="1"/>
  <c r="V70" i="4" s="1"/>
  <c r="V79" i="4" s="1"/>
  <c r="V81" i="4" s="1"/>
  <c r="V83" i="4" s="1"/>
  <c r="V90" i="4" s="1"/>
  <c r="V97" i="4" s="1"/>
  <c r="R60" i="4"/>
  <c r="R62" i="4" s="1"/>
  <c r="R66" i="4" s="1"/>
  <c r="R70" i="4" s="1"/>
  <c r="R79" i="4" s="1"/>
  <c r="R81" i="4" s="1"/>
  <c r="R83" i="4" s="1"/>
  <c r="R90" i="4" s="1"/>
  <c r="R97" i="4" s="1"/>
  <c r="Z60" i="4"/>
  <c r="Z62" i="4" s="1"/>
  <c r="Z66" i="4" s="1"/>
  <c r="Z70" i="4" s="1"/>
  <c r="Z79" i="4" s="1"/>
  <c r="Z81" i="4" s="1"/>
  <c r="Z83" i="4" s="1"/>
  <c r="Z90" i="4" s="1"/>
  <c r="Z97" i="4" s="1"/>
  <c r="K60" i="4"/>
  <c r="K62" i="4" s="1"/>
  <c r="K66" i="4" s="1"/>
  <c r="K70" i="4" s="1"/>
  <c r="K79" i="4" s="1"/>
  <c r="K81" i="4" s="1"/>
  <c r="K83" i="4" s="1"/>
  <c r="K90" i="4" s="1"/>
  <c r="K97" i="4" s="1"/>
  <c r="N60" i="4"/>
  <c r="N62" i="4" s="1"/>
  <c r="N66" i="4" s="1"/>
  <c r="N70" i="4" s="1"/>
  <c r="N79" i="4" s="1"/>
  <c r="N81" i="4" s="1"/>
  <c r="N83" i="4" s="1"/>
  <c r="N90" i="4" s="1"/>
  <c r="N97" i="4" s="1"/>
  <c r="X60" i="4"/>
  <c r="X62" i="4" s="1"/>
  <c r="X66" i="4" s="1"/>
  <c r="X70" i="4" s="1"/>
  <c r="X79" i="4" s="1"/>
  <c r="X81" i="4" s="1"/>
  <c r="X83" i="4" s="1"/>
  <c r="X90" i="4" s="1"/>
  <c r="X97" i="4" s="1"/>
  <c r="Q60" i="4"/>
  <c r="Q62" i="4" s="1"/>
  <c r="Q66" i="4" s="1"/>
  <c r="Q70" i="4" s="1"/>
  <c r="Q79" i="4" s="1"/>
  <c r="Q81" i="4" s="1"/>
  <c r="Q83" i="4" s="1"/>
  <c r="Q90" i="4" s="1"/>
  <c r="Q97" i="4" s="1"/>
  <c r="I60" i="4"/>
  <c r="I62" i="4" s="1"/>
  <c r="I66" i="4" s="1"/>
  <c r="I70" i="4" s="1"/>
  <c r="I79" i="4" s="1"/>
  <c r="I81" i="4" s="1"/>
  <c r="J60" i="4"/>
  <c r="J62" i="4" s="1"/>
  <c r="J66" i="4" s="1"/>
  <c r="J70" i="4" s="1"/>
  <c r="J79" i="4" s="1"/>
  <c r="J81" i="4" s="1"/>
  <c r="J83" i="4" s="1"/>
  <c r="J90" i="4" s="1"/>
  <c r="J97" i="4" s="1"/>
  <c r="P60" i="4"/>
  <c r="P62" i="4" s="1"/>
  <c r="P66" i="4" s="1"/>
  <c r="P70" i="4" s="1"/>
  <c r="P79" i="4" s="1"/>
  <c r="P81" i="4" s="1"/>
  <c r="P83" i="4" s="1"/>
  <c r="P90" i="4" s="1"/>
  <c r="P97" i="4" s="1"/>
  <c r="M60" i="4"/>
  <c r="M62" i="4" s="1"/>
  <c r="M66" i="4" s="1"/>
  <c r="M70" i="4" s="1"/>
  <c r="M79" i="4" s="1"/>
  <c r="M81" i="4" s="1"/>
  <c r="M83" i="4" s="1"/>
  <c r="M90" i="4" s="1"/>
  <c r="M97" i="4" s="1"/>
  <c r="S60" i="4"/>
  <c r="S62" i="4" s="1"/>
  <c r="S66" i="4" s="1"/>
  <c r="S70" i="4" s="1"/>
  <c r="S79" i="4" s="1"/>
  <c r="S81" i="4" s="1"/>
  <c r="S83" i="4" s="1"/>
  <c r="S90" i="4" s="1"/>
  <c r="S97" i="4" s="1"/>
  <c r="Q173" i="17"/>
  <c r="Q180" i="17" s="1"/>
  <c r="Q187" i="17" s="1"/>
  <c r="N93" i="7" l="1"/>
  <c r="N98" i="7"/>
  <c r="O235" i="7"/>
  <c r="O240" i="7"/>
  <c r="C25" i="9"/>
  <c r="P24" i="9"/>
  <c r="O24" i="9"/>
  <c r="K24" i="9"/>
  <c r="L24" i="9"/>
  <c r="M24" i="9"/>
  <c r="N24" i="9"/>
  <c r="O167" i="7"/>
  <c r="O166" i="7" s="1"/>
  <c r="O172" i="7" s="1"/>
  <c r="P170" i="7"/>
  <c r="O30" i="7"/>
  <c r="O264" i="7"/>
  <c r="O261" i="7"/>
  <c r="O260" i="7" s="1"/>
  <c r="O266" i="7" s="1"/>
  <c r="P30" i="7"/>
  <c r="O75" i="7"/>
  <c r="O123" i="7"/>
  <c r="P121" i="7"/>
  <c r="P120" i="7" s="1"/>
  <c r="P126" i="7" s="1"/>
  <c r="O27" i="7"/>
  <c r="O26" i="7" s="1"/>
  <c r="O32" i="7" s="1"/>
  <c r="O263" i="7"/>
  <c r="P27" i="7"/>
  <c r="P26" i="7" s="1"/>
  <c r="P32" i="7" s="1"/>
  <c r="O170" i="7"/>
  <c r="P261" i="7"/>
  <c r="P260" i="7" s="1"/>
  <c r="P266" i="7" s="1"/>
  <c r="O124" i="7"/>
  <c r="P124" i="7"/>
  <c r="P76" i="7"/>
  <c r="O76" i="7"/>
  <c r="O121" i="7"/>
  <c r="O120" i="7" s="1"/>
  <c r="O126" i="7" s="1"/>
  <c r="O217" i="7"/>
  <c r="M99" i="7"/>
  <c r="N187" i="7"/>
  <c r="N192" i="7"/>
  <c r="N193" i="7" s="1"/>
  <c r="O73" i="7"/>
  <c r="O72" i="7" s="1"/>
  <c r="O78" i="7" s="1"/>
  <c r="N141" i="7"/>
  <c r="N146" i="7"/>
  <c r="P73" i="7"/>
  <c r="P72" i="7" s="1"/>
  <c r="P78" i="7" s="1"/>
  <c r="P215" i="7"/>
  <c r="P214" i="7" s="1"/>
  <c r="P220" i="7" s="1"/>
  <c r="P218" i="7"/>
  <c r="N235" i="7"/>
  <c r="N240" i="7"/>
  <c r="M53" i="7"/>
  <c r="M287" i="7"/>
  <c r="G99" i="17"/>
  <c r="H164" i="4"/>
  <c r="H133" i="4"/>
  <c r="H134" i="4" s="1"/>
  <c r="O164" i="4"/>
  <c r="O133" i="4"/>
  <c r="O134" i="4" s="1"/>
  <c r="Q164" i="4"/>
  <c r="Q133" i="4"/>
  <c r="Q134" i="4" s="1"/>
  <c r="L164" i="4"/>
  <c r="L133" i="4"/>
  <c r="L134" i="4" s="1"/>
  <c r="J164" i="4"/>
  <c r="J133" i="4"/>
  <c r="J134" i="4" s="1"/>
  <c r="P164" i="4"/>
  <c r="P133" i="4"/>
  <c r="P134" i="4" s="1"/>
  <c r="N164" i="4"/>
  <c r="N133" i="4"/>
  <c r="N134" i="4" s="1"/>
  <c r="R164" i="4"/>
  <c r="R133" i="4"/>
  <c r="R134" i="4" s="1"/>
  <c r="I332" i="4"/>
  <c r="J329" i="4" s="1"/>
  <c r="J332" i="4" s="1"/>
  <c r="K329" i="4" s="1"/>
  <c r="K332" i="4" s="1"/>
  <c r="L329" i="4" s="1"/>
  <c r="L332" i="4" s="1"/>
  <c r="M329" i="4" s="1"/>
  <c r="M332" i="4" s="1"/>
  <c r="N329" i="4" s="1"/>
  <c r="N332" i="4" s="1"/>
  <c r="O329" i="4" s="1"/>
  <c r="O332" i="4" s="1"/>
  <c r="P329" i="4" s="1"/>
  <c r="P332" i="4" s="1"/>
  <c r="Q329" i="4" s="1"/>
  <c r="Q332" i="4" s="1"/>
  <c r="R329" i="4" s="1"/>
  <c r="R332" i="4" s="1"/>
  <c r="S329" i="4" s="1"/>
  <c r="S332" i="4" s="1"/>
  <c r="T329" i="4" s="1"/>
  <c r="T332" i="4" s="1"/>
  <c r="U329" i="4" s="1"/>
  <c r="U332" i="4" s="1"/>
  <c r="V329" i="4" s="1"/>
  <c r="V332" i="4" s="1"/>
  <c r="W329" i="4" s="1"/>
  <c r="W332" i="4" s="1"/>
  <c r="X329" i="4" s="1"/>
  <c r="X332" i="4" s="1"/>
  <c r="Y329" i="4" s="1"/>
  <c r="Y332" i="4" s="1"/>
  <c r="Z329" i="4" s="1"/>
  <c r="Z332" i="4" s="1"/>
  <c r="AA329" i="4" s="1"/>
  <c r="AA332" i="4" s="1"/>
  <c r="M164" i="4"/>
  <c r="M133" i="4"/>
  <c r="M134" i="4" s="1"/>
  <c r="I164" i="4"/>
  <c r="I133" i="4"/>
  <c r="I134" i="4" s="1"/>
  <c r="K164" i="4"/>
  <c r="K133" i="4"/>
  <c r="K134" i="4" s="1"/>
  <c r="S164" i="4"/>
  <c r="S133" i="4"/>
  <c r="S134" i="4" s="1"/>
  <c r="I83" i="4"/>
  <c r="I90" i="4" s="1"/>
  <c r="I97" i="4" s="1"/>
  <c r="L63" i="1"/>
  <c r="L146" i="1" s="1"/>
  <c r="N73" i="18" s="1"/>
  <c r="G189" i="17"/>
  <c r="N153" i="1"/>
  <c r="P80" i="18" s="1"/>
  <c r="P67" i="18"/>
  <c r="N67" i="18"/>
  <c r="L153" i="1"/>
  <c r="N80" i="18" s="1"/>
  <c r="H83" i="4"/>
  <c r="H90" i="4" s="1"/>
  <c r="H97" i="4" s="1"/>
  <c r="N147" i="7" l="1"/>
  <c r="O141" i="7"/>
  <c r="O146" i="7"/>
  <c r="P47" i="7"/>
  <c r="P52" i="7"/>
  <c r="P53" i="7" s="1"/>
  <c r="O286" i="7"/>
  <c r="O281" i="7"/>
  <c r="O287" i="7" s="1"/>
  <c r="C26" i="9"/>
  <c r="P25" i="9"/>
  <c r="K25" i="9"/>
  <c r="P29" i="7" s="1"/>
  <c r="N25" i="9"/>
  <c r="P169" i="7" s="1"/>
  <c r="O25" i="9"/>
  <c r="P217" i="7" s="1"/>
  <c r="M25" i="9"/>
  <c r="P123" i="7" s="1"/>
  <c r="L25" i="9"/>
  <c r="P167" i="7"/>
  <c r="P166" i="7" s="1"/>
  <c r="P172" i="7" s="1"/>
  <c r="P264" i="7"/>
  <c r="P75" i="7"/>
  <c r="N99" i="7"/>
  <c r="P93" i="7"/>
  <c r="P99" i="7" s="1"/>
  <c r="P98" i="7"/>
  <c r="O187" i="7"/>
  <c r="O192" i="7"/>
  <c r="O93" i="7"/>
  <c r="O99" i="7" s="1"/>
  <c r="O98" i="7"/>
  <c r="P141" i="7"/>
  <c r="P146" i="7"/>
  <c r="N241" i="7"/>
  <c r="P235" i="7"/>
  <c r="P240" i="7"/>
  <c r="P281" i="7"/>
  <c r="P287" i="7" s="1"/>
  <c r="P286" i="7"/>
  <c r="O47" i="7"/>
  <c r="O52" i="7"/>
  <c r="O241" i="7"/>
  <c r="G99" i="4"/>
  <c r="G137" i="4"/>
  <c r="G139" i="4" s="1"/>
  <c r="G140" i="4" s="1"/>
  <c r="N47" i="18"/>
  <c r="O147" i="7" l="1"/>
  <c r="O53" i="7"/>
  <c r="P241" i="7"/>
  <c r="O193" i="7"/>
  <c r="P147" i="7"/>
  <c r="P187" i="7"/>
  <c r="P192" i="7"/>
  <c r="L26" i="9"/>
  <c r="C27" i="9"/>
  <c r="K26" i="9"/>
  <c r="Q29" i="7" s="1"/>
  <c r="O26" i="9"/>
  <c r="N26" i="9"/>
  <c r="M26" i="9"/>
  <c r="P26" i="9"/>
  <c r="Q263" i="7" s="1"/>
  <c r="Q261" i="7"/>
  <c r="Q260" i="7" s="1"/>
  <c r="Q266" i="7" s="1"/>
  <c r="Q170" i="7"/>
  <c r="Q121" i="7"/>
  <c r="Q120" i="7" s="1"/>
  <c r="Q126" i="7" s="1"/>
  <c r="Q124" i="7"/>
  <c r="R121" i="7"/>
  <c r="R120" i="7" s="1"/>
  <c r="R126" i="7" s="1"/>
  <c r="Q27" i="7"/>
  <c r="Q26" i="7" s="1"/>
  <c r="Q32" i="7" s="1"/>
  <c r="Q167" i="7"/>
  <c r="Q166" i="7" s="1"/>
  <c r="Q172" i="7" s="1"/>
  <c r="R170" i="7"/>
  <c r="R167" i="7"/>
  <c r="R166" i="7" s="1"/>
  <c r="R172" i="7" s="1"/>
  <c r="R218" i="7"/>
  <c r="R261" i="7"/>
  <c r="R260" i="7" s="1"/>
  <c r="R266" i="7" s="1"/>
  <c r="R215" i="7"/>
  <c r="R214" i="7" s="1"/>
  <c r="R220" i="7" s="1"/>
  <c r="R264" i="7"/>
  <c r="Q123" i="7"/>
  <c r="R124" i="7"/>
  <c r="Q264" i="7"/>
  <c r="R73" i="7"/>
  <c r="R72" i="7" s="1"/>
  <c r="R78" i="7" s="1"/>
  <c r="R27" i="7"/>
  <c r="R26" i="7" s="1"/>
  <c r="R32" i="7" s="1"/>
  <c r="H150" i="4"/>
  <c r="H152" i="4" s="1"/>
  <c r="H156" i="4" s="1"/>
  <c r="H160" i="4" s="1"/>
  <c r="H169" i="4" s="1"/>
  <c r="H171" i="4" s="1"/>
  <c r="H173" i="4" s="1"/>
  <c r="H180" i="4" s="1"/>
  <c r="H187" i="4" s="1"/>
  <c r="I150" i="4"/>
  <c r="I152" i="4" s="1"/>
  <c r="I156" i="4" s="1"/>
  <c r="I160" i="4" s="1"/>
  <c r="I169" i="4" s="1"/>
  <c r="I171" i="4" s="1"/>
  <c r="I173" i="4" s="1"/>
  <c r="I180" i="4" s="1"/>
  <c r="I187" i="4" s="1"/>
  <c r="P150" i="4"/>
  <c r="P152" i="4" s="1"/>
  <c r="P156" i="4" s="1"/>
  <c r="P160" i="4" s="1"/>
  <c r="P169" i="4" s="1"/>
  <c r="P171" i="4" s="1"/>
  <c r="P173" i="4" s="1"/>
  <c r="P180" i="4" s="1"/>
  <c r="P187" i="4" s="1"/>
  <c r="U150" i="4"/>
  <c r="U152" i="4" s="1"/>
  <c r="U156" i="4" s="1"/>
  <c r="U160" i="4" s="1"/>
  <c r="U169" i="4" s="1"/>
  <c r="U171" i="4" s="1"/>
  <c r="U173" i="4" s="1"/>
  <c r="U180" i="4" s="1"/>
  <c r="U187" i="4" s="1"/>
  <c r="M150" i="4"/>
  <c r="M152" i="4" s="1"/>
  <c r="M156" i="4" s="1"/>
  <c r="M160" i="4" s="1"/>
  <c r="M169" i="4" s="1"/>
  <c r="M171" i="4" s="1"/>
  <c r="M173" i="4" s="1"/>
  <c r="M180" i="4" s="1"/>
  <c r="M187" i="4" s="1"/>
  <c r="K150" i="4"/>
  <c r="K152" i="4" s="1"/>
  <c r="K156" i="4" s="1"/>
  <c r="K160" i="4" s="1"/>
  <c r="K169" i="4" s="1"/>
  <c r="K171" i="4" s="1"/>
  <c r="K173" i="4" s="1"/>
  <c r="K180" i="4" s="1"/>
  <c r="K187" i="4" s="1"/>
  <c r="O150" i="4"/>
  <c r="O152" i="4" s="1"/>
  <c r="O156" i="4" s="1"/>
  <c r="O160" i="4" s="1"/>
  <c r="O169" i="4" s="1"/>
  <c r="O171" i="4" s="1"/>
  <c r="O173" i="4" s="1"/>
  <c r="O180" i="4" s="1"/>
  <c r="O187" i="4" s="1"/>
  <c r="L150" i="4"/>
  <c r="L152" i="4" s="1"/>
  <c r="L156" i="4" s="1"/>
  <c r="L160" i="4" s="1"/>
  <c r="L169" i="4" s="1"/>
  <c r="L171" i="4" s="1"/>
  <c r="L173" i="4" s="1"/>
  <c r="L180" i="4" s="1"/>
  <c r="L187" i="4" s="1"/>
  <c r="Q150" i="4"/>
  <c r="Q152" i="4" s="1"/>
  <c r="Q156" i="4" s="1"/>
  <c r="Q160" i="4" s="1"/>
  <c r="Q169" i="4" s="1"/>
  <c r="Q171" i="4" s="1"/>
  <c r="Q173" i="4" s="1"/>
  <c r="Q180" i="4" s="1"/>
  <c r="Q187" i="4" s="1"/>
  <c r="J150" i="4"/>
  <c r="J152" i="4" s="1"/>
  <c r="J156" i="4" s="1"/>
  <c r="J160" i="4" s="1"/>
  <c r="J169" i="4" s="1"/>
  <c r="J171" i="4" s="1"/>
  <c r="J173" i="4" s="1"/>
  <c r="J180" i="4" s="1"/>
  <c r="J187" i="4" s="1"/>
  <c r="S150" i="4"/>
  <c r="S152" i="4" s="1"/>
  <c r="S156" i="4" s="1"/>
  <c r="S160" i="4" s="1"/>
  <c r="S169" i="4" s="1"/>
  <c r="S171" i="4" s="1"/>
  <c r="S173" i="4" s="1"/>
  <c r="S180" i="4" s="1"/>
  <c r="S187" i="4" s="1"/>
  <c r="Z150" i="4"/>
  <c r="Z152" i="4" s="1"/>
  <c r="Z156" i="4" s="1"/>
  <c r="Z160" i="4" s="1"/>
  <c r="Z169" i="4" s="1"/>
  <c r="Z171" i="4" s="1"/>
  <c r="Z173" i="4" s="1"/>
  <c r="Z180" i="4" s="1"/>
  <c r="Z187" i="4" s="1"/>
  <c r="T150" i="4"/>
  <c r="T152" i="4" s="1"/>
  <c r="T156" i="4" s="1"/>
  <c r="T160" i="4" s="1"/>
  <c r="T169" i="4" s="1"/>
  <c r="T171" i="4" s="1"/>
  <c r="T173" i="4" s="1"/>
  <c r="T180" i="4" s="1"/>
  <c r="T187" i="4" s="1"/>
  <c r="W150" i="4"/>
  <c r="W152" i="4" s="1"/>
  <c r="W156" i="4" s="1"/>
  <c r="W160" i="4" s="1"/>
  <c r="W169" i="4" s="1"/>
  <c r="W171" i="4" s="1"/>
  <c r="W173" i="4" s="1"/>
  <c r="W180" i="4" s="1"/>
  <c r="W187" i="4" s="1"/>
  <c r="X150" i="4"/>
  <c r="X152" i="4" s="1"/>
  <c r="X156" i="4" s="1"/>
  <c r="X160" i="4" s="1"/>
  <c r="X169" i="4" s="1"/>
  <c r="X171" i="4" s="1"/>
  <c r="X173" i="4" s="1"/>
  <c r="X180" i="4" s="1"/>
  <c r="X187" i="4" s="1"/>
  <c r="N150" i="4"/>
  <c r="N152" i="4" s="1"/>
  <c r="N156" i="4" s="1"/>
  <c r="N160" i="4" s="1"/>
  <c r="N169" i="4" s="1"/>
  <c r="N171" i="4" s="1"/>
  <c r="N173" i="4" s="1"/>
  <c r="N180" i="4" s="1"/>
  <c r="N187" i="4" s="1"/>
  <c r="N64" i="1"/>
  <c r="V150" i="4"/>
  <c r="V152" i="4" s="1"/>
  <c r="V156" i="4" s="1"/>
  <c r="V160" i="4" s="1"/>
  <c r="V169" i="4" s="1"/>
  <c r="V171" i="4" s="1"/>
  <c r="V173" i="4" s="1"/>
  <c r="V180" i="4" s="1"/>
  <c r="V187" i="4" s="1"/>
  <c r="R150" i="4"/>
  <c r="R152" i="4" s="1"/>
  <c r="R156" i="4" s="1"/>
  <c r="R160" i="4" s="1"/>
  <c r="R169" i="4" s="1"/>
  <c r="R171" i="4" s="1"/>
  <c r="R173" i="4" s="1"/>
  <c r="R180" i="4" s="1"/>
  <c r="R187" i="4" s="1"/>
  <c r="Y150" i="4"/>
  <c r="Y152" i="4" s="1"/>
  <c r="Y156" i="4" s="1"/>
  <c r="Y160" i="4" s="1"/>
  <c r="Y169" i="4" s="1"/>
  <c r="Y171" i="4" s="1"/>
  <c r="Y173" i="4" s="1"/>
  <c r="Y180" i="4" s="1"/>
  <c r="Y187" i="4" s="1"/>
  <c r="AA150" i="4"/>
  <c r="AA152" i="4" s="1"/>
  <c r="AA156" i="4" s="1"/>
  <c r="AA160" i="4" s="1"/>
  <c r="AA169" i="4" s="1"/>
  <c r="AA171" i="4" s="1"/>
  <c r="AA173" i="4" s="1"/>
  <c r="AA180" i="4" s="1"/>
  <c r="AA187" i="4" s="1"/>
  <c r="R47" i="7" l="1"/>
  <c r="R53" i="7" s="1"/>
  <c r="R52" i="7"/>
  <c r="Q192" i="7"/>
  <c r="Q187" i="7"/>
  <c r="Q193" i="7" s="1"/>
  <c r="Q281" i="7"/>
  <c r="Q287" i="7" s="1"/>
  <c r="Q286" i="7"/>
  <c r="P193" i="7"/>
  <c r="Q47" i="7"/>
  <c r="Q52" i="7"/>
  <c r="R141" i="7"/>
  <c r="R146" i="7"/>
  <c r="R286" i="7"/>
  <c r="R281" i="7"/>
  <c r="R287" i="7" s="1"/>
  <c r="R187" i="7"/>
  <c r="R192" i="7"/>
  <c r="R193" i="7" s="1"/>
  <c r="Q141" i="7"/>
  <c r="Q146" i="7"/>
  <c r="R98" i="7"/>
  <c r="R93" i="7"/>
  <c r="R99" i="7" s="1"/>
  <c r="R235" i="7"/>
  <c r="R240" i="7"/>
  <c r="R241" i="7" s="1"/>
  <c r="C28" i="9"/>
  <c r="P27" i="9"/>
  <c r="L27" i="9"/>
  <c r="M27" i="9"/>
  <c r="K27" i="9"/>
  <c r="N27" i="9"/>
  <c r="O27" i="9"/>
  <c r="R76" i="7"/>
  <c r="S76" i="7"/>
  <c r="P48" i="18"/>
  <c r="N63" i="1"/>
  <c r="G189" i="4"/>
  <c r="Q147" i="7" l="1"/>
  <c r="Q53" i="7"/>
  <c r="C29" i="9"/>
  <c r="N28" i="9"/>
  <c r="M28" i="9"/>
  <c r="K28" i="9"/>
  <c r="P28" i="9"/>
  <c r="O28" i="9"/>
  <c r="L28" i="9"/>
  <c r="R147" i="7"/>
  <c r="P47" i="18"/>
  <c r="N146" i="1"/>
  <c r="C30" i="9" l="1"/>
  <c r="P29" i="9"/>
  <c r="K29" i="9"/>
  <c r="M29" i="9"/>
  <c r="L29" i="9"/>
  <c r="O29" i="9"/>
  <c r="N29" i="9"/>
  <c r="P73" i="18"/>
  <c r="N147" i="1"/>
  <c r="P74" i="18" s="1"/>
  <c r="P30" i="9" l="1"/>
  <c r="N30" i="9"/>
  <c r="M30" i="9"/>
  <c r="O30" i="9"/>
  <c r="L30" i="9"/>
  <c r="K30" i="9"/>
  <c r="C31" i="9"/>
  <c r="N152" i="1"/>
  <c r="P31" i="9" l="1"/>
  <c r="C32" i="9"/>
  <c r="M31" i="9"/>
  <c r="N31" i="9"/>
  <c r="K31" i="9"/>
  <c r="O31" i="9"/>
  <c r="L31" i="9"/>
  <c r="N155" i="1"/>
  <c r="P79" i="18"/>
  <c r="N139" i="1"/>
  <c r="P66" i="18" s="1"/>
  <c r="C33" i="9" l="1"/>
  <c r="N32" i="9"/>
  <c r="M32" i="9"/>
  <c r="P32" i="9"/>
  <c r="K32" i="9"/>
  <c r="O32" i="9"/>
  <c r="L32" i="9"/>
  <c r="P82" i="18"/>
  <c r="C34" i="9" l="1"/>
  <c r="N33" i="9"/>
  <c r="M33" i="9"/>
  <c r="P33" i="9"/>
  <c r="K33" i="9"/>
  <c r="L33" i="9"/>
  <c r="O33" i="9"/>
  <c r="C35" i="9" l="1"/>
  <c r="O34" i="9"/>
  <c r="M34" i="9"/>
  <c r="L34" i="9"/>
  <c r="N34" i="9"/>
  <c r="K34" i="9"/>
  <c r="P34" i="9"/>
  <c r="C36" i="9" l="1"/>
  <c r="P35" i="9"/>
  <c r="O35" i="9"/>
  <c r="K35" i="9"/>
  <c r="N35" i="9"/>
  <c r="L35" i="9"/>
  <c r="M35" i="9"/>
  <c r="C37" i="9" l="1"/>
  <c r="P36" i="9"/>
  <c r="M36" i="9"/>
  <c r="O36" i="9"/>
  <c r="L36" i="9"/>
  <c r="N36" i="9"/>
  <c r="K36" i="9"/>
  <c r="C38" i="9" l="1"/>
  <c r="L37" i="9"/>
  <c r="N37" i="9"/>
  <c r="K37" i="9"/>
  <c r="M37" i="9"/>
  <c r="O37" i="9"/>
  <c r="P37" i="9"/>
  <c r="C39" i="9" l="1"/>
  <c r="K38" i="9"/>
  <c r="P38" i="9"/>
  <c r="N38" i="9"/>
  <c r="L38" i="9"/>
  <c r="O38" i="9"/>
  <c r="M38" i="9"/>
  <c r="C40" i="9" l="1"/>
  <c r="N39" i="9"/>
  <c r="P39" i="9"/>
  <c r="L39" i="9"/>
  <c r="K39" i="9"/>
  <c r="M39" i="9"/>
  <c r="O39" i="9"/>
  <c r="C41" i="9" l="1"/>
  <c r="M40" i="9"/>
  <c r="L40" i="9"/>
  <c r="P40" i="9"/>
  <c r="N40" i="9"/>
  <c r="K40" i="9"/>
  <c r="O40" i="9"/>
  <c r="C42" i="9" l="1"/>
  <c r="N41" i="9"/>
  <c r="L41" i="9"/>
  <c r="M41" i="9"/>
  <c r="O41" i="9"/>
  <c r="K41" i="9"/>
  <c r="P41" i="9"/>
  <c r="C43" i="9" l="1"/>
  <c r="O42" i="9"/>
  <c r="P42" i="9"/>
  <c r="N42" i="9"/>
  <c r="K42" i="9"/>
  <c r="M42" i="9"/>
  <c r="L42" i="9"/>
  <c r="C44" i="9" l="1"/>
  <c r="N43" i="9"/>
  <c r="L43" i="9"/>
  <c r="K43" i="9"/>
  <c r="P43" i="9"/>
  <c r="M43" i="9"/>
  <c r="O43" i="9"/>
  <c r="C45" i="9" l="1"/>
  <c r="M44" i="9"/>
  <c r="L44" i="9"/>
  <c r="O44" i="9"/>
  <c r="N44" i="9"/>
  <c r="P44" i="9"/>
  <c r="K44" i="9"/>
  <c r="C46" i="9" l="1"/>
  <c r="M45" i="9"/>
  <c r="O45" i="9"/>
  <c r="N45" i="9"/>
  <c r="L45" i="9"/>
  <c r="K45" i="9"/>
  <c r="P45" i="9"/>
  <c r="C47" i="9" l="1"/>
  <c r="O46" i="9"/>
  <c r="P46" i="9"/>
  <c r="N46" i="9"/>
  <c r="M46" i="9"/>
  <c r="L46" i="9"/>
  <c r="K46" i="9"/>
  <c r="C48" i="9" l="1"/>
  <c r="P47" i="9"/>
  <c r="O47" i="9"/>
  <c r="M47" i="9"/>
  <c r="N47" i="9"/>
  <c r="K47" i="9"/>
  <c r="L47" i="9"/>
  <c r="C49" i="9" l="1"/>
  <c r="M48" i="9"/>
  <c r="P48" i="9"/>
  <c r="N48" i="9"/>
  <c r="K48" i="9"/>
  <c r="O48" i="9"/>
  <c r="L48" i="9"/>
  <c r="L49" i="9" l="1"/>
  <c r="C50" i="9"/>
  <c r="P49" i="9"/>
  <c r="K49" i="9"/>
  <c r="N49" i="9"/>
  <c r="O49" i="9"/>
  <c r="M49" i="9"/>
  <c r="C51" i="9" l="1"/>
  <c r="L50" i="9"/>
  <c r="O50" i="9"/>
  <c r="P50" i="9"/>
  <c r="K50" i="9"/>
  <c r="N50" i="9"/>
  <c r="M50" i="9"/>
  <c r="C52" i="9" l="1"/>
  <c r="N51" i="9"/>
  <c r="O51" i="9"/>
  <c r="M51" i="9"/>
  <c r="P51" i="9"/>
  <c r="K51" i="9"/>
  <c r="L51" i="9"/>
  <c r="C53" i="9" l="1"/>
  <c r="P52" i="9"/>
  <c r="M52" i="9"/>
  <c r="N52" i="9"/>
  <c r="O52" i="9"/>
  <c r="L52" i="9"/>
  <c r="K52" i="9"/>
  <c r="C54" i="9" l="1"/>
  <c r="P53" i="9"/>
  <c r="K53" i="9"/>
  <c r="L53" i="9"/>
  <c r="O53" i="9"/>
  <c r="N53" i="9"/>
  <c r="M53" i="9"/>
  <c r="C55" i="9" l="1"/>
  <c r="P54" i="9"/>
  <c r="N54" i="9"/>
  <c r="M54" i="9"/>
  <c r="O54" i="9"/>
  <c r="L54" i="9"/>
  <c r="K54" i="9"/>
  <c r="C56" i="9" l="1"/>
  <c r="P55" i="9"/>
  <c r="O55" i="9"/>
  <c r="M55" i="9"/>
  <c r="N55" i="9"/>
  <c r="K55" i="9"/>
  <c r="L55" i="9"/>
  <c r="C57" i="9" l="1"/>
  <c r="C58" i="9" s="1"/>
  <c r="C59" i="9" s="1"/>
  <c r="C60" i="9" s="1"/>
  <c r="C61" i="9" s="1"/>
  <c r="C62" i="9" s="1"/>
  <c r="C63" i="9" s="1"/>
  <c r="C64" i="9" s="1"/>
  <c r="C65" i="9" s="1"/>
  <c r="C66" i="9" s="1"/>
  <c r="P56" i="9"/>
  <c r="M56" i="9"/>
  <c r="N56" i="9"/>
  <c r="O56" i="9"/>
  <c r="L56" i="9"/>
  <c r="K56" i="9"/>
  <c r="X170" i="7" l="1"/>
  <c r="AM123" i="7"/>
  <c r="AY73" i="7"/>
  <c r="AY72" i="7" s="1"/>
  <c r="AY78" i="7" s="1"/>
  <c r="AK217" i="7"/>
  <c r="AJ123" i="7"/>
  <c r="W29" i="7"/>
  <c r="AX30" i="7"/>
  <c r="BE30" i="7"/>
  <c r="Q217" i="7"/>
  <c r="AD27" i="7"/>
  <c r="AD26" i="7" s="1"/>
  <c r="AD32" i="7" s="1"/>
  <c r="O29" i="7"/>
  <c r="S121" i="7"/>
  <c r="S120" i="7" s="1"/>
  <c r="S126" i="7" s="1"/>
  <c r="AW73" i="7"/>
  <c r="AW72" i="7" s="1"/>
  <c r="AW78" i="7" s="1"/>
  <c r="U170" i="7"/>
  <c r="AT30" i="7"/>
  <c r="BC167" i="7"/>
  <c r="BC166" i="7" s="1"/>
  <c r="BC172" i="7" s="1"/>
  <c r="AA76" i="7"/>
  <c r="AI263" i="7"/>
  <c r="R30" i="7"/>
  <c r="AX121" i="7"/>
  <c r="AX120" i="7" s="1"/>
  <c r="AX126" i="7" s="1"/>
  <c r="AU123" i="7"/>
  <c r="AL73" i="7"/>
  <c r="AL72" i="7" s="1"/>
  <c r="AL78" i="7" s="1"/>
  <c r="AG217" i="7"/>
  <c r="AJ218" i="7"/>
  <c r="AB124" i="7"/>
  <c r="Z30" i="7"/>
  <c r="BC124" i="7"/>
  <c r="BC27" i="7"/>
  <c r="BC26" i="7" s="1"/>
  <c r="BC32" i="7" s="1"/>
  <c r="X27" i="7"/>
  <c r="X26" i="7" s="1"/>
  <c r="X32" i="7" s="1"/>
  <c r="BD30" i="7"/>
  <c r="AT263" i="7"/>
  <c r="R75" i="7"/>
  <c r="AJ73" i="7"/>
  <c r="AJ72" i="7" s="1"/>
  <c r="AJ78" i="7" s="1"/>
  <c r="V27" i="7"/>
  <c r="V26" i="7" s="1"/>
  <c r="V32" i="7" s="1"/>
  <c r="Y76" i="7"/>
  <c r="AE76" i="7"/>
  <c r="AQ123" i="7"/>
  <c r="AO218" i="7"/>
  <c r="AN170" i="7"/>
  <c r="Q30" i="7"/>
  <c r="Q218" i="7"/>
  <c r="AD169" i="7"/>
  <c r="AD29" i="7"/>
  <c r="BB215" i="7"/>
  <c r="BB214" i="7" s="1"/>
  <c r="BB220" i="7" s="1"/>
  <c r="BE123" i="7"/>
  <c r="AV27" i="7"/>
  <c r="AV26" i="7" s="1"/>
  <c r="AV32" i="7" s="1"/>
  <c r="AP30" i="7"/>
  <c r="W30" i="7"/>
  <c r="AV169" i="7"/>
  <c r="AC215" i="7"/>
  <c r="AC214" i="7" s="1"/>
  <c r="AC220" i="7" s="1"/>
  <c r="AA29" i="7"/>
  <c r="AB169" i="7"/>
  <c r="T264" i="7"/>
  <c r="S218" i="7"/>
  <c r="AD75" i="7"/>
  <c r="AM170" i="7"/>
  <c r="AL30" i="7"/>
  <c r="BB124" i="7"/>
  <c r="Z263" i="7"/>
  <c r="AU27" i="7"/>
  <c r="AU26" i="7" s="1"/>
  <c r="AU32" i="7" s="1"/>
  <c r="AA123" i="7"/>
  <c r="AI30" i="7"/>
  <c r="P263" i="7"/>
  <c r="AV218" i="7"/>
  <c r="Y124" i="7"/>
  <c r="AE263" i="7"/>
  <c r="BC215" i="7"/>
  <c r="BC214" i="7" s="1"/>
  <c r="BC220" i="7" s="1"/>
  <c r="BC169" i="7"/>
  <c r="AW76" i="7"/>
  <c r="AA75" i="7"/>
  <c r="AU75" i="7"/>
  <c r="AU218" i="7"/>
  <c r="AR121" i="7"/>
  <c r="AR120" i="7" s="1"/>
  <c r="AR126" i="7" s="1"/>
  <c r="AU29" i="7"/>
  <c r="AB217" i="7"/>
  <c r="AW167" i="7"/>
  <c r="AW166" i="7" s="1"/>
  <c r="AW172" i="7" s="1"/>
  <c r="AO75" i="7"/>
  <c r="Z27" i="7"/>
  <c r="Z26" i="7" s="1"/>
  <c r="Z32" i="7" s="1"/>
  <c r="BC263" i="7"/>
  <c r="BE121" i="7"/>
  <c r="BE120" i="7" s="1"/>
  <c r="BE126" i="7" s="1"/>
  <c r="BA121" i="7"/>
  <c r="BA120" i="7" s="1"/>
  <c r="BA126" i="7" s="1"/>
  <c r="AQ170" i="7"/>
  <c r="AY29" i="7"/>
  <c r="AG218" i="7"/>
  <c r="AC76" i="7"/>
  <c r="AS75" i="7"/>
  <c r="AJ27" i="7"/>
  <c r="AJ26" i="7" s="1"/>
  <c r="AJ32" i="7" s="1"/>
  <c r="T27" i="7"/>
  <c r="T26" i="7" s="1"/>
  <c r="T32" i="7" s="1"/>
  <c r="AX75" i="7"/>
  <c r="AF167" i="7"/>
  <c r="AF166" i="7" s="1"/>
  <c r="AF172" i="7" s="1"/>
  <c r="BA29" i="7"/>
  <c r="T121" i="7"/>
  <c r="T120" i="7" s="1"/>
  <c r="T126" i="7" s="1"/>
  <c r="U121" i="7"/>
  <c r="U120" i="7" s="1"/>
  <c r="U126" i="7" s="1"/>
  <c r="AB167" i="7"/>
  <c r="AB166" i="7" s="1"/>
  <c r="AB172" i="7" s="1"/>
  <c r="AU30" i="7"/>
  <c r="AY27" i="7"/>
  <c r="AY26" i="7" s="1"/>
  <c r="AY32" i="7" s="1"/>
  <c r="Q215" i="7"/>
  <c r="Q214" i="7" s="1"/>
  <c r="Q220" i="7" s="1"/>
  <c r="AD123" i="7"/>
  <c r="AL29" i="7"/>
  <c r="AL76" i="7"/>
  <c r="T261" i="7"/>
  <c r="T260" i="7" s="1"/>
  <c r="T266" i="7" s="1"/>
  <c r="BC29" i="7"/>
  <c r="BA261" i="7"/>
  <c r="BA260" i="7" s="1"/>
  <c r="BA266" i="7" s="1"/>
  <c r="AQ29" i="7"/>
  <c r="AB73" i="7"/>
  <c r="AB72" i="7" s="1"/>
  <c r="AB78" i="7" s="1"/>
  <c r="AU263" i="7"/>
  <c r="AQ30" i="7"/>
  <c r="AY75" i="7"/>
  <c r="AM29" i="7"/>
  <c r="T124" i="7"/>
  <c r="S30" i="7"/>
  <c r="BD167" i="7"/>
  <c r="BD166" i="7" s="1"/>
  <c r="BD172" i="7" s="1"/>
  <c r="AK263" i="7"/>
  <c r="AS121" i="7"/>
  <c r="AS120" i="7" s="1"/>
  <c r="AS126" i="7" s="1"/>
  <c r="AL170" i="7"/>
  <c r="AX123" i="7"/>
  <c r="Z123" i="7"/>
  <c r="AE29" i="7"/>
  <c r="AQ167" i="7"/>
  <c r="AQ166" i="7" s="1"/>
  <c r="AQ172" i="7" s="1"/>
  <c r="BB76" i="7"/>
  <c r="AB215" i="7"/>
  <c r="AB214" i="7" s="1"/>
  <c r="AB220" i="7" s="1"/>
  <c r="Q76" i="7"/>
  <c r="AS73" i="7"/>
  <c r="AS72" i="7" s="1"/>
  <c r="AS78" i="7" s="1"/>
  <c r="AY167" i="7"/>
  <c r="AY166" i="7" s="1"/>
  <c r="AY172" i="7" s="1"/>
  <c r="AI261" i="7"/>
  <c r="AI260" i="7" s="1"/>
  <c r="AI266" i="7" s="1"/>
  <c r="AW27" i="7"/>
  <c r="AW26" i="7" s="1"/>
  <c r="AW32" i="7" s="1"/>
  <c r="AE261" i="7"/>
  <c r="AE260" i="7" s="1"/>
  <c r="AE266" i="7" s="1"/>
  <c r="AK27" i="7"/>
  <c r="AK26" i="7" s="1"/>
  <c r="AK32" i="7" s="1"/>
  <c r="AI264" i="7"/>
  <c r="AM169" i="7"/>
  <c r="BA123" i="7"/>
  <c r="BB261" i="7"/>
  <c r="BB260" i="7" s="1"/>
  <c r="BB266" i="7" s="1"/>
  <c r="AX124" i="7"/>
  <c r="AL261" i="7"/>
  <c r="AL260" i="7" s="1"/>
  <c r="AL266" i="7" s="1"/>
  <c r="Y73" i="7"/>
  <c r="Y72" i="7" s="1"/>
  <c r="Y78" i="7" s="1"/>
  <c r="BC170" i="7"/>
  <c r="AT27" i="7"/>
  <c r="AT26" i="7" s="1"/>
  <c r="AT32" i="7" s="1"/>
  <c r="AY170" i="7"/>
  <c r="AM27" i="7"/>
  <c r="AM26" i="7" s="1"/>
  <c r="AM32" i="7" s="1"/>
  <c r="V30" i="7"/>
  <c r="BD217" i="7"/>
  <c r="Y27" i="7"/>
  <c r="Y26" i="7" s="1"/>
  <c r="Y32" i="7" s="1"/>
  <c r="AW30" i="7"/>
  <c r="AD218" i="7"/>
  <c r="AY169" i="7"/>
  <c r="AI29" i="7"/>
  <c r="AE264" i="7"/>
  <c r="AZ123" i="7"/>
  <c r="T218" i="7"/>
  <c r="AZ30" i="7"/>
  <c r="X29" i="7"/>
  <c r="BE75" i="7"/>
  <c r="BB264" i="7"/>
  <c r="AJ30" i="7"/>
  <c r="AY30" i="7"/>
  <c r="S264" i="7"/>
  <c r="O169" i="7"/>
  <c r="X264" i="7"/>
  <c r="AQ263" i="7"/>
  <c r="AZ169" i="7"/>
  <c r="AP215" i="7"/>
  <c r="AP214" i="7" s="1"/>
  <c r="AP220" i="7" s="1"/>
  <c r="AV123" i="7"/>
  <c r="Q73" i="7"/>
  <c r="Q72" i="7" s="1"/>
  <c r="Q78" i="7" s="1"/>
  <c r="Z264" i="7"/>
  <c r="BE170" i="7"/>
  <c r="S29" i="7"/>
  <c r="AZ27" i="7"/>
  <c r="AZ26" i="7" s="1"/>
  <c r="AZ32" i="7" s="1"/>
  <c r="AE75" i="7"/>
  <c r="AP27" i="7"/>
  <c r="AP26" i="7" s="1"/>
  <c r="AP32" i="7" s="1"/>
  <c r="AO124" i="7"/>
  <c r="T263" i="7"/>
  <c r="BC30" i="7"/>
  <c r="T30" i="7"/>
  <c r="AB170" i="7"/>
  <c r="AI217" i="7"/>
  <c r="AI215" i="7"/>
  <c r="AI214" i="7" s="1"/>
  <c r="AI220" i="7" s="1"/>
  <c r="AP169" i="7"/>
  <c r="AP29" i="7"/>
  <c r="AT169" i="7"/>
  <c r="AO76" i="7"/>
  <c r="BD29" i="7"/>
  <c r="AC73" i="7"/>
  <c r="AC72" i="7" s="1"/>
  <c r="AC78" i="7" s="1"/>
  <c r="V215" i="7"/>
  <c r="V214" i="7" s="1"/>
  <c r="V220" i="7" s="1"/>
  <c r="V217" i="7"/>
  <c r="AW75" i="7"/>
  <c r="AF124" i="7"/>
  <c r="AH218" i="7"/>
  <c r="BA124" i="7"/>
  <c r="AT121" i="7"/>
  <c r="AT120" i="7" s="1"/>
  <c r="AT126" i="7" s="1"/>
  <c r="BA169" i="7"/>
  <c r="BA263" i="7"/>
  <c r="AS167" i="7"/>
  <c r="AS166" i="7" s="1"/>
  <c r="AS172" i="7" s="1"/>
  <c r="AE73" i="7"/>
  <c r="AE72" i="7" s="1"/>
  <c r="AE78" i="7" s="1"/>
  <c r="AE30" i="7"/>
  <c r="W264" i="7"/>
  <c r="AF169" i="7"/>
  <c r="AY123" i="7"/>
  <c r="AU217" i="7"/>
  <c r="AU169" i="7"/>
  <c r="S27" i="7"/>
  <c r="S26" i="7" s="1"/>
  <c r="S32" i="7" s="1"/>
  <c r="W73" i="7"/>
  <c r="W72" i="7" s="1"/>
  <c r="W78" i="7" s="1"/>
  <c r="V170" i="7"/>
  <c r="AK30" i="7"/>
  <c r="AZ73" i="7"/>
  <c r="AZ72" i="7" s="1"/>
  <c r="AZ78" i="7" s="1"/>
  <c r="Y170" i="7"/>
  <c r="AF170" i="7"/>
  <c r="AI124" i="7"/>
  <c r="V121" i="7"/>
  <c r="V120" i="7" s="1"/>
  <c r="V126" i="7" s="1"/>
  <c r="AD215" i="7"/>
  <c r="AD214" i="7" s="1"/>
  <c r="AD220" i="7" s="1"/>
  <c r="AS215" i="7"/>
  <c r="AS214" i="7" s="1"/>
  <c r="AS220" i="7" s="1"/>
  <c r="Q75" i="7"/>
  <c r="U124" i="7"/>
  <c r="BE124" i="7"/>
  <c r="AZ217" i="7"/>
  <c r="AO27" i="7"/>
  <c r="AO26" i="7" s="1"/>
  <c r="AO32" i="7" s="1"/>
  <c r="AH264" i="7"/>
  <c r="AL27" i="7"/>
  <c r="AL26" i="7" s="1"/>
  <c r="AL32" i="7" s="1"/>
  <c r="T217" i="7"/>
  <c r="AH124" i="7"/>
  <c r="AK75" i="7"/>
  <c r="V264" i="7"/>
  <c r="AE217" i="7"/>
  <c r="W263" i="7"/>
  <c r="AG27" i="7"/>
  <c r="AG26" i="7" s="1"/>
  <c r="AG32" i="7" s="1"/>
  <c r="BB217" i="7"/>
  <c r="W121" i="7"/>
  <c r="W120" i="7" s="1"/>
  <c r="W126" i="7" s="1"/>
  <c r="AR123" i="7"/>
  <c r="AS30" i="7"/>
  <c r="AH261" i="7"/>
  <c r="AH260" i="7" s="1"/>
  <c r="AH266" i="7" s="1"/>
  <c r="AL167" i="7"/>
  <c r="AL166" i="7" s="1"/>
  <c r="AL172" i="7" s="1"/>
  <c r="U263" i="7"/>
  <c r="AS169" i="7"/>
  <c r="AK215" i="7"/>
  <c r="AK214" i="7" s="1"/>
  <c r="AK220" i="7" s="1"/>
  <c r="AH73" i="7"/>
  <c r="AH72" i="7" s="1"/>
  <c r="AH78" i="7" s="1"/>
  <c r="Y123" i="7"/>
  <c r="BA167" i="7"/>
  <c r="BA166" i="7" s="1"/>
  <c r="BA172" i="7" s="1"/>
  <c r="Z29" i="7"/>
  <c r="S73" i="7"/>
  <c r="S72" i="7" s="1"/>
  <c r="S78" i="7" s="1"/>
  <c r="AA218" i="7"/>
  <c r="U73" i="7"/>
  <c r="U72" i="7" s="1"/>
  <c r="U78" i="7" s="1"/>
  <c r="X75" i="7"/>
  <c r="AA121" i="7"/>
  <c r="AA120" i="7" s="1"/>
  <c r="AA126" i="7" s="1"/>
  <c r="AD73" i="7"/>
  <c r="AD72" i="7" s="1"/>
  <c r="AD78" i="7" s="1"/>
  <c r="AD263" i="7"/>
  <c r="AI218" i="7"/>
  <c r="AN123" i="7"/>
  <c r="AL123" i="7"/>
  <c r="AT73" i="7"/>
  <c r="AT72" i="7" s="1"/>
  <c r="AT78" i="7" s="1"/>
  <c r="AP76" i="7"/>
  <c r="AY124" i="7"/>
  <c r="BB27" i="7"/>
  <c r="BB26" i="7" s="1"/>
  <c r="BB32" i="7" s="1"/>
  <c r="AY217" i="7"/>
  <c r="AW261" i="7"/>
  <c r="AW260" i="7" s="1"/>
  <c r="AW266" i="7" s="1"/>
  <c r="AX170" i="7"/>
  <c r="BD124" i="7"/>
  <c r="AQ217" i="7"/>
  <c r="BD27" i="7"/>
  <c r="BD26" i="7" s="1"/>
  <c r="BD32" i="7" s="1"/>
  <c r="AC264" i="7"/>
  <c r="S123" i="7"/>
  <c r="AD121" i="7"/>
  <c r="AD120" i="7" s="1"/>
  <c r="AD126" i="7" s="1"/>
  <c r="AQ27" i="7"/>
  <c r="AQ26" i="7" s="1"/>
  <c r="AQ32" i="7" s="1"/>
  <c r="AA73" i="7"/>
  <c r="AA72" i="7" s="1"/>
  <c r="AA78" i="7" s="1"/>
  <c r="AB27" i="7"/>
  <c r="AB26" i="7" s="1"/>
  <c r="AB32" i="7" s="1"/>
  <c r="V167" i="7"/>
  <c r="V166" i="7" s="1"/>
  <c r="V172" i="7" s="1"/>
  <c r="AT170" i="7"/>
  <c r="R123" i="7"/>
  <c r="AT261" i="7"/>
  <c r="AT260" i="7" s="1"/>
  <c r="AT266" i="7" s="1"/>
  <c r="Y121" i="7"/>
  <c r="Y120" i="7" s="1"/>
  <c r="Y126" i="7" s="1"/>
  <c r="AB29" i="7"/>
  <c r="Z261" i="7"/>
  <c r="Z260" i="7" s="1"/>
  <c r="Z266" i="7" s="1"/>
  <c r="BC121" i="7"/>
  <c r="BC120" i="7" s="1"/>
  <c r="BC126" i="7" s="1"/>
  <c r="AT218" i="7"/>
  <c r="AC218" i="7"/>
  <c r="AX76" i="7"/>
  <c r="AN121" i="7"/>
  <c r="AN120" i="7" s="1"/>
  <c r="AN126" i="7" s="1"/>
  <c r="S75" i="7"/>
  <c r="T76" i="7"/>
  <c r="V123" i="7"/>
  <c r="AA169" i="7"/>
  <c r="AV75" i="7"/>
  <c r="AL75" i="7"/>
  <c r="AN169" i="7"/>
  <c r="AO215" i="7"/>
  <c r="AO214" i="7" s="1"/>
  <c r="AO220" i="7" s="1"/>
  <c r="AB75" i="7"/>
  <c r="AZ261" i="7"/>
  <c r="AZ260" i="7" s="1"/>
  <c r="AZ266" i="7" s="1"/>
  <c r="V124" i="7"/>
  <c r="AB218" i="7"/>
  <c r="AH75" i="7"/>
  <c r="AI76" i="7"/>
  <c r="W217" i="7"/>
  <c r="U169" i="7"/>
  <c r="V75" i="7"/>
  <c r="W215" i="7"/>
  <c r="W214" i="7" s="1"/>
  <c r="W220" i="7" s="1"/>
  <c r="AM215" i="7"/>
  <c r="AM214" i="7" s="1"/>
  <c r="AM220" i="7" s="1"/>
  <c r="AK264" i="7"/>
  <c r="AY218" i="7"/>
  <c r="AS76" i="7"/>
  <c r="AU261" i="7"/>
  <c r="AU260" i="7" s="1"/>
  <c r="AU266" i="7" s="1"/>
  <c r="BE76" i="7"/>
  <c r="AQ218" i="7"/>
  <c r="AW217" i="7"/>
  <c r="AL264" i="7"/>
  <c r="AS218" i="7"/>
  <c r="AA261" i="7"/>
  <c r="AA260" i="7" s="1"/>
  <c r="AA266" i="7" s="1"/>
  <c r="AP263" i="7"/>
  <c r="AL124" i="7"/>
  <c r="AC27" i="7"/>
  <c r="AC26" i="7" s="1"/>
  <c r="AC32" i="7" s="1"/>
  <c r="AJ215" i="7"/>
  <c r="AJ214" i="7" s="1"/>
  <c r="AJ220" i="7" s="1"/>
  <c r="BA73" i="7"/>
  <c r="BA72" i="7" s="1"/>
  <c r="BA78" i="7" s="1"/>
  <c r="AB121" i="7"/>
  <c r="AB120" i="7" s="1"/>
  <c r="AB126" i="7" s="1"/>
  <c r="BB121" i="7"/>
  <c r="BB120" i="7" s="1"/>
  <c r="BB126" i="7" s="1"/>
  <c r="BE27" i="7"/>
  <c r="BE26" i="7" s="1"/>
  <c r="BE32" i="7" s="1"/>
  <c r="Y261" i="7"/>
  <c r="Y260" i="7" s="1"/>
  <c r="Y266" i="7" s="1"/>
  <c r="AF76" i="7"/>
  <c r="AV121" i="7"/>
  <c r="AV120" i="7" s="1"/>
  <c r="AV126" i="7" s="1"/>
  <c r="AQ124" i="7"/>
  <c r="BC218" i="7"/>
  <c r="AI167" i="7"/>
  <c r="AI166" i="7" s="1"/>
  <c r="AI172" i="7" s="1"/>
  <c r="AB264" i="7"/>
  <c r="U167" i="7"/>
  <c r="U166" i="7" s="1"/>
  <c r="U172" i="7" s="1"/>
  <c r="AT123" i="7"/>
  <c r="AM263" i="7"/>
  <c r="BA264" i="7"/>
  <c r="AO121" i="7"/>
  <c r="AO120" i="7" s="1"/>
  <c r="AO126" i="7" s="1"/>
  <c r="AQ264" i="7"/>
  <c r="AO73" i="7"/>
  <c r="AO72" i="7" s="1"/>
  <c r="AO78" i="7" s="1"/>
  <c r="Y29" i="7"/>
  <c r="AN27" i="7"/>
  <c r="AN26" i="7" s="1"/>
  <c r="AN32" i="7" s="1"/>
  <c r="U123" i="7"/>
  <c r="AG75" i="7"/>
  <c r="BB218" i="7"/>
  <c r="W124" i="7"/>
  <c r="AH123" i="7"/>
  <c r="BD73" i="7"/>
  <c r="BD72" i="7" s="1"/>
  <c r="BD78" i="7" s="1"/>
  <c r="AW169" i="7"/>
  <c r="AV170" i="7"/>
  <c r="AM30" i="7"/>
  <c r="AE169" i="7"/>
  <c r="BA217" i="7"/>
  <c r="AW264" i="7"/>
  <c r="W170" i="7"/>
  <c r="AA215" i="7"/>
  <c r="AA214" i="7" s="1"/>
  <c r="AA220" i="7" s="1"/>
  <c r="AV76" i="7"/>
  <c r="AA167" i="7"/>
  <c r="AA166" i="7" s="1"/>
  <c r="AA172" i="7" s="1"/>
  <c r="R29" i="7"/>
  <c r="AA170" i="7"/>
  <c r="X169" i="7"/>
  <c r="AG169" i="7"/>
  <c r="AV215" i="7"/>
  <c r="AV214" i="7" s="1"/>
  <c r="AV220" i="7" s="1"/>
  <c r="AT217" i="7"/>
  <c r="BE218" i="7"/>
  <c r="AT264" i="7"/>
  <c r="Z121" i="7"/>
  <c r="Z120" i="7" s="1"/>
  <c r="Z126" i="7" s="1"/>
  <c r="AI27" i="7"/>
  <c r="AI26" i="7" s="1"/>
  <c r="AI32" i="7" s="1"/>
  <c r="AD170" i="7"/>
  <c r="BE264" i="7"/>
  <c r="AV73" i="7"/>
  <c r="AV72" i="7" s="1"/>
  <c r="AV78" i="7" s="1"/>
  <c r="BD76" i="7"/>
  <c r="AM73" i="7"/>
  <c r="AM72" i="7" s="1"/>
  <c r="AM78" i="7" s="1"/>
  <c r="AM264" i="7"/>
  <c r="AI123" i="7"/>
  <c r="AB261" i="7"/>
  <c r="AB260" i="7" s="1"/>
  <c r="AB266" i="7" s="1"/>
  <c r="AZ75" i="7"/>
  <c r="U261" i="7"/>
  <c r="U260" i="7" s="1"/>
  <c r="U266" i="7" s="1"/>
  <c r="S170" i="7"/>
  <c r="AR30" i="7"/>
  <c r="AV167" i="7"/>
  <c r="AV166" i="7" s="1"/>
  <c r="AV172" i="7" s="1"/>
  <c r="W75" i="7"/>
  <c r="X263" i="7"/>
  <c r="BD121" i="7"/>
  <c r="BD120" i="7" s="1"/>
  <c r="BD126" i="7" s="1"/>
  <c r="BC264" i="7"/>
  <c r="W76" i="7"/>
  <c r="AC167" i="7"/>
  <c r="AC166" i="7" s="1"/>
  <c r="AC172" i="7" s="1"/>
  <c r="AZ263" i="7"/>
  <c r="V73" i="7"/>
  <c r="V72" i="7" s="1"/>
  <c r="V78" i="7" s="1"/>
  <c r="AW170" i="7"/>
  <c r="AV263" i="7"/>
  <c r="AF263" i="7"/>
  <c r="AV124" i="7"/>
  <c r="T170" i="7"/>
  <c r="AI75" i="7"/>
  <c r="AR169" i="7"/>
  <c r="AF218" i="7"/>
  <c r="AR73" i="7"/>
  <c r="AR72" i="7" s="1"/>
  <c r="AR78" i="7" s="1"/>
  <c r="AK121" i="7"/>
  <c r="AK120" i="7" s="1"/>
  <c r="AK126" i="7" s="1"/>
  <c r="S167" i="7"/>
  <c r="S166" i="7" s="1"/>
  <c r="S172" i="7" s="1"/>
  <c r="AH76" i="7"/>
  <c r="AL121" i="7"/>
  <c r="AL120" i="7" s="1"/>
  <c r="AL126" i="7" s="1"/>
  <c r="S124" i="7"/>
  <c r="AA30" i="7"/>
  <c r="AX263" i="7"/>
  <c r="BA76" i="7"/>
  <c r="S263" i="7"/>
  <c r="BB169" i="7"/>
  <c r="AO169" i="7"/>
  <c r="AK261" i="7"/>
  <c r="AK260" i="7" s="1"/>
  <c r="AK266" i="7" s="1"/>
  <c r="AG121" i="7"/>
  <c r="AG120" i="7" s="1"/>
  <c r="AG126" i="7" s="1"/>
  <c r="T169" i="7"/>
  <c r="AN76" i="7"/>
  <c r="AG29" i="7"/>
  <c r="AA264" i="7"/>
  <c r="AC261" i="7"/>
  <c r="AC260" i="7" s="1"/>
  <c r="AC266" i="7" s="1"/>
  <c r="AG263" i="7"/>
  <c r="R217" i="7"/>
  <c r="AM218" i="7"/>
  <c r="AW215" i="7"/>
  <c r="AW214" i="7" s="1"/>
  <c r="AW220" i="7" s="1"/>
  <c r="AD124" i="7"/>
  <c r="AP124" i="7"/>
  <c r="AN73" i="7"/>
  <c r="AN72" i="7" s="1"/>
  <c r="AN78" i="7" s="1"/>
  <c r="Z215" i="7"/>
  <c r="Z214" i="7" s="1"/>
  <c r="Z220" i="7" s="1"/>
  <c r="AO123" i="7"/>
  <c r="AS264" i="7"/>
  <c r="AN29" i="7"/>
  <c r="AF75" i="7"/>
  <c r="V169" i="7"/>
  <c r="AR124" i="7"/>
  <c r="Z218" i="7"/>
  <c r="U75" i="7"/>
  <c r="AN218" i="7"/>
  <c r="R263" i="7"/>
  <c r="AZ264" i="7"/>
  <c r="AE170" i="7"/>
  <c r="AE218" i="7"/>
  <c r="AZ167" i="7"/>
  <c r="AZ166" i="7" s="1"/>
  <c r="AZ172" i="7" s="1"/>
  <c r="AH121" i="7"/>
  <c r="AH120" i="7" s="1"/>
  <c r="AH126" i="7" s="1"/>
  <c r="BA170" i="7"/>
  <c r="AK73" i="7"/>
  <c r="AK72" i="7" s="1"/>
  <c r="AK78" i="7" s="1"/>
  <c r="BA75" i="7"/>
  <c r="AX215" i="7"/>
  <c r="AX214" i="7" s="1"/>
  <c r="AX220" i="7" s="1"/>
  <c r="BC75" i="7"/>
  <c r="Z170" i="7"/>
  <c r="S217" i="7"/>
  <c r="BE29" i="7"/>
  <c r="AJ124" i="7"/>
  <c r="AA217" i="7"/>
  <c r="AH263" i="7"/>
  <c r="Z217" i="7"/>
  <c r="BB30" i="7"/>
  <c r="AK123" i="7"/>
  <c r="AA263" i="7"/>
  <c r="Z124" i="7"/>
  <c r="AD264" i="7"/>
  <c r="BB167" i="7"/>
  <c r="BB166" i="7" s="1"/>
  <c r="BB172" i="7" s="1"/>
  <c r="AX167" i="7"/>
  <c r="AX166" i="7" s="1"/>
  <c r="AX172" i="7" s="1"/>
  <c r="Y75" i="7"/>
  <c r="AS124" i="7"/>
  <c r="AL218" i="7"/>
  <c r="BB75" i="7"/>
  <c r="BD75" i="7"/>
  <c r="T123" i="7"/>
  <c r="AM124" i="7"/>
  <c r="AZ121" i="7"/>
  <c r="AZ120" i="7" s="1"/>
  <c r="AZ126" i="7" s="1"/>
  <c r="U264" i="7"/>
  <c r="U215" i="7"/>
  <c r="U214" i="7" s="1"/>
  <c r="U220" i="7" s="1"/>
  <c r="AG167" i="7"/>
  <c r="AG166" i="7" s="1"/>
  <c r="AG172" i="7" s="1"/>
  <c r="AZ218" i="7"/>
  <c r="BE215" i="7"/>
  <c r="BE214" i="7" s="1"/>
  <c r="BE220" i="7" s="1"/>
  <c r="AX29" i="7"/>
  <c r="BE217" i="7"/>
  <c r="AR218" i="7"/>
  <c r="AR75" i="7"/>
  <c r="AJ263" i="7"/>
  <c r="U76" i="7"/>
  <c r="AH170" i="7"/>
  <c r="W27" i="7"/>
  <c r="W26" i="7" s="1"/>
  <c r="W32" i="7" s="1"/>
  <c r="AG76" i="7"/>
  <c r="AH215" i="7"/>
  <c r="AH214" i="7" s="1"/>
  <c r="AH220" i="7" s="1"/>
  <c r="AQ261" i="7"/>
  <c r="AQ260" i="7" s="1"/>
  <c r="AQ266" i="7" s="1"/>
  <c r="AE27" i="7"/>
  <c r="AE26" i="7" s="1"/>
  <c r="AE32" i="7" s="1"/>
  <c r="AM76" i="7"/>
  <c r="Q169" i="7"/>
  <c r="BD218" i="7"/>
  <c r="AN261" i="7"/>
  <c r="AN260" i="7" s="1"/>
  <c r="AN266" i="7" s="1"/>
  <c r="X217" i="7"/>
  <c r="AO264" i="7"/>
  <c r="AI169" i="7"/>
  <c r="AJ217" i="7"/>
  <c r="AP264" i="7"/>
  <c r="AC121" i="7"/>
  <c r="AC120" i="7" s="1"/>
  <c r="AC126" i="7" s="1"/>
  <c r="BD264" i="7"/>
  <c r="X218" i="7"/>
  <c r="AT76" i="7"/>
  <c r="AR264" i="7"/>
  <c r="AU215" i="7"/>
  <c r="AU214" i="7" s="1"/>
  <c r="AU220" i="7" s="1"/>
  <c r="Y169" i="7"/>
  <c r="AD76" i="7"/>
  <c r="AS123" i="7"/>
  <c r="T167" i="7"/>
  <c r="T166" i="7" s="1"/>
  <c r="T172" i="7" s="1"/>
  <c r="U27" i="7"/>
  <c r="U26" i="7" s="1"/>
  <c r="U32" i="7" s="1"/>
  <c r="AH167" i="7"/>
  <c r="AH166" i="7" s="1"/>
  <c r="AH172" i="7" s="1"/>
  <c r="AM75" i="7"/>
  <c r="AY264" i="7"/>
  <c r="T215" i="7"/>
  <c r="T214" i="7" s="1"/>
  <c r="T220" i="7" s="1"/>
  <c r="AD167" i="7"/>
  <c r="AD166" i="7" s="1"/>
  <c r="AD172" i="7" s="1"/>
  <c r="AK170" i="7"/>
  <c r="S169" i="7"/>
  <c r="S261" i="7"/>
  <c r="S260" i="7" s="1"/>
  <c r="S266" i="7" s="1"/>
  <c r="AR263" i="7"/>
  <c r="AN30" i="7"/>
  <c r="AS170" i="7"/>
  <c r="AY263" i="7"/>
  <c r="AN264" i="7"/>
  <c r="U29" i="7"/>
  <c r="AW124" i="7"/>
  <c r="AX27" i="7"/>
  <c r="AX26" i="7" s="1"/>
  <c r="AX32" i="7" s="1"/>
  <c r="AF27" i="7"/>
  <c r="AF26" i="7" s="1"/>
  <c r="AF32" i="7" s="1"/>
  <c r="BD169" i="7"/>
  <c r="AR76" i="7"/>
  <c r="BC261" i="7"/>
  <c r="BC260" i="7" s="1"/>
  <c r="BC266" i="7" s="1"/>
  <c r="AX261" i="7"/>
  <c r="AX260" i="7" s="1"/>
  <c r="AX266" i="7" s="1"/>
  <c r="AN215" i="7"/>
  <c r="AN214" i="7" s="1"/>
  <c r="AN220" i="7" s="1"/>
  <c r="AR170" i="7"/>
  <c r="AL217" i="7"/>
  <c r="AR261" i="7"/>
  <c r="AR260" i="7" s="1"/>
  <c r="AR266" i="7" s="1"/>
  <c r="AY261" i="7"/>
  <c r="AY260" i="7" s="1"/>
  <c r="AY266" i="7" s="1"/>
  <c r="AW121" i="7"/>
  <c r="AW120" i="7" s="1"/>
  <c r="AW126" i="7" s="1"/>
  <c r="AR29" i="7"/>
  <c r="AF264" i="7"/>
  <c r="AP167" i="7"/>
  <c r="AP166" i="7" s="1"/>
  <c r="AP172" i="7" s="1"/>
  <c r="AR217" i="7"/>
  <c r="Y263" i="7"/>
  <c r="AB76" i="7"/>
  <c r="AZ76" i="7"/>
  <c r="AS263" i="7"/>
  <c r="X261" i="7"/>
  <c r="X260" i="7" s="1"/>
  <c r="X266" i="7" s="1"/>
  <c r="AW263" i="7"/>
  <c r="AC123" i="7"/>
  <c r="AT124" i="7"/>
  <c r="AQ75" i="7"/>
  <c r="V76" i="7"/>
  <c r="BE263" i="7"/>
  <c r="AU76" i="7"/>
  <c r="AG264" i="7"/>
  <c r="AG124" i="7"/>
  <c r="AE123" i="7"/>
  <c r="AP170" i="7"/>
  <c r="AZ29" i="7"/>
  <c r="V218" i="7"/>
  <c r="AB123" i="7"/>
  <c r="S215" i="7"/>
  <c r="S214" i="7" s="1"/>
  <c r="S220" i="7" s="1"/>
  <c r="T73" i="7"/>
  <c r="T72" i="7" s="1"/>
  <c r="T78" i="7" s="1"/>
  <c r="BA27" i="7"/>
  <c r="BA26" i="7" s="1"/>
  <c r="BA32" i="7" s="1"/>
  <c r="X123" i="7"/>
  <c r="AG73" i="7"/>
  <c r="AG72" i="7" s="1"/>
  <c r="AG78" i="7" s="1"/>
  <c r="AM167" i="7"/>
  <c r="AM166" i="7" s="1"/>
  <c r="AM172" i="7" s="1"/>
  <c r="AU170" i="7"/>
  <c r="AL215" i="7"/>
  <c r="AL214" i="7" s="1"/>
  <c r="AL220" i="7" s="1"/>
  <c r="Z169" i="7"/>
  <c r="AJ170" i="7"/>
  <c r="AF30" i="7"/>
  <c r="AT215" i="7"/>
  <c r="AT214" i="7" s="1"/>
  <c r="AT220" i="7" s="1"/>
  <c r="AP73" i="7"/>
  <c r="AP72" i="7" s="1"/>
  <c r="AP78" i="7" s="1"/>
  <c r="AK76" i="7"/>
  <c r="AH169" i="7"/>
  <c r="AJ167" i="7"/>
  <c r="AJ166" i="7" s="1"/>
  <c r="AJ172" i="7" s="1"/>
  <c r="AI73" i="7"/>
  <c r="AI72" i="7" s="1"/>
  <c r="AI78" i="7" s="1"/>
  <c r="BB123" i="7"/>
  <c r="AA124" i="7"/>
  <c r="V29" i="7"/>
  <c r="AU264" i="7"/>
  <c r="AW123" i="7"/>
  <c r="AD217" i="7"/>
  <c r="AK218" i="7"/>
  <c r="AG123" i="7"/>
  <c r="AE167" i="7"/>
  <c r="AE166" i="7" s="1"/>
  <c r="AE172" i="7" s="1"/>
  <c r="AY121" i="7"/>
  <c r="AY120" i="7" s="1"/>
  <c r="AY126" i="7" s="1"/>
  <c r="AP75" i="7"/>
  <c r="AF123" i="7"/>
  <c r="Y167" i="7"/>
  <c r="Y166" i="7" s="1"/>
  <c r="Y172" i="7" s="1"/>
  <c r="AQ121" i="7"/>
  <c r="AQ120" i="7" s="1"/>
  <c r="AQ126" i="7" s="1"/>
  <c r="Z167" i="7"/>
  <c r="Z166" i="7" s="1"/>
  <c r="Z172" i="7" s="1"/>
  <c r="AF73" i="7"/>
  <c r="AF72" i="7" s="1"/>
  <c r="AF78" i="7" s="1"/>
  <c r="BB73" i="7"/>
  <c r="BB72" i="7" s="1"/>
  <c r="BB78" i="7" s="1"/>
  <c r="Y218" i="7"/>
  <c r="AC217" i="7"/>
  <c r="AJ261" i="7"/>
  <c r="AJ260" i="7" s="1"/>
  <c r="AJ266" i="7" s="1"/>
  <c r="X167" i="7"/>
  <c r="X166" i="7" s="1"/>
  <c r="X172" i="7" s="1"/>
  <c r="U218" i="7"/>
  <c r="AW29" i="7"/>
  <c r="AJ29" i="7"/>
  <c r="AM261" i="7"/>
  <c r="AM260" i="7" s="1"/>
  <c r="AM266" i="7" s="1"/>
  <c r="AR215" i="7"/>
  <c r="AR214" i="7" s="1"/>
  <c r="AR220" i="7" s="1"/>
  <c r="BE261" i="7"/>
  <c r="BE260" i="7" s="1"/>
  <c r="BE266" i="7" s="1"/>
  <c r="AO30" i="7"/>
  <c r="AO261" i="7"/>
  <c r="AO260" i="7" s="1"/>
  <c r="AO266" i="7" s="1"/>
  <c r="BA218" i="7"/>
  <c r="AJ75" i="7"/>
  <c r="AN75" i="7"/>
  <c r="AG261" i="7"/>
  <c r="AG260" i="7" s="1"/>
  <c r="AG266" i="7" s="1"/>
  <c r="AC124" i="7"/>
  <c r="T29" i="7"/>
  <c r="AS217" i="7"/>
  <c r="X121" i="7"/>
  <c r="X120" i="7" s="1"/>
  <c r="X126" i="7" s="1"/>
  <c r="AJ121" i="7"/>
  <c r="AJ120" i="7" s="1"/>
  <c r="AJ126" i="7" s="1"/>
  <c r="AU73" i="7"/>
  <c r="AU72" i="7" s="1"/>
  <c r="AU78" i="7" s="1"/>
  <c r="AU121" i="7"/>
  <c r="AU120" i="7" s="1"/>
  <c r="AU126" i="7" s="1"/>
  <c r="Z73" i="7"/>
  <c r="Z72" i="7" s="1"/>
  <c r="Z78" i="7" s="1"/>
  <c r="AG170" i="7"/>
  <c r="X73" i="7"/>
  <c r="X72" i="7" s="1"/>
  <c r="X78" i="7" s="1"/>
  <c r="BB263" i="7"/>
  <c r="AH30" i="7"/>
  <c r="AF261" i="7"/>
  <c r="AF260" i="7" s="1"/>
  <c r="AF266" i="7" s="1"/>
  <c r="AI121" i="7"/>
  <c r="AI120" i="7" s="1"/>
  <c r="AI126" i="7" s="1"/>
  <c r="AN217" i="7"/>
  <c r="AX264" i="7"/>
  <c r="AJ169" i="7"/>
  <c r="AU124" i="7"/>
  <c r="AO217" i="7"/>
  <c r="AC263" i="7"/>
  <c r="AX73" i="7"/>
  <c r="AX72" i="7" s="1"/>
  <c r="AX78" i="7" s="1"/>
  <c r="AO170" i="7"/>
  <c r="AZ215" i="7"/>
  <c r="AZ214" i="7" s="1"/>
  <c r="AZ220" i="7" s="1"/>
  <c r="AE215" i="7"/>
  <c r="AE214" i="7" s="1"/>
  <c r="AE220" i="7" s="1"/>
  <c r="AN124" i="7"/>
  <c r="BE73" i="7"/>
  <c r="BE72" i="7" s="1"/>
  <c r="BE78" i="7" s="1"/>
  <c r="BC123" i="7"/>
  <c r="AE121" i="7"/>
  <c r="AE120" i="7" s="1"/>
  <c r="AE126" i="7" s="1"/>
  <c r="BA30" i="7"/>
  <c r="U30" i="7"/>
  <c r="BD170" i="7"/>
  <c r="X215" i="7"/>
  <c r="X214" i="7" s="1"/>
  <c r="X220" i="7" s="1"/>
  <c r="AV29" i="7"/>
  <c r="AL263" i="7"/>
  <c r="AX169" i="7"/>
  <c r="W169" i="7"/>
  <c r="AW218" i="7"/>
  <c r="Z76" i="7"/>
  <c r="AH27" i="7"/>
  <c r="AH26" i="7" s="1"/>
  <c r="AH32" i="7" s="1"/>
  <c r="W123" i="7"/>
  <c r="V263" i="7"/>
  <c r="Z75" i="7"/>
  <c r="AA27" i="7"/>
  <c r="AA26" i="7" s="1"/>
  <c r="AA32" i="7" s="1"/>
  <c r="AH217" i="7"/>
  <c r="R169" i="7"/>
  <c r="AQ215" i="7"/>
  <c r="AQ214" i="7" s="1"/>
  <c r="AQ220" i="7" s="1"/>
  <c r="AO167" i="7"/>
  <c r="AO166" i="7" s="1"/>
  <c r="AO172" i="7" s="1"/>
  <c r="BE167" i="7"/>
  <c r="BE166" i="7" s="1"/>
  <c r="BE172" i="7" s="1"/>
  <c r="AR167" i="7"/>
  <c r="AR166" i="7" s="1"/>
  <c r="AR172" i="7" s="1"/>
  <c r="BA215" i="7"/>
  <c r="BA214" i="7" s="1"/>
  <c r="BA220" i="7" s="1"/>
  <c r="AM217" i="7"/>
  <c r="AX218" i="7"/>
  <c r="BD215" i="7"/>
  <c r="BD214" i="7" s="1"/>
  <c r="BD220" i="7" s="1"/>
  <c r="AX217" i="7"/>
  <c r="AD30" i="7"/>
  <c r="AY215" i="7"/>
  <c r="AY214" i="7" s="1"/>
  <c r="AY220" i="7" s="1"/>
  <c r="V261" i="7"/>
  <c r="V260" i="7" s="1"/>
  <c r="V266" i="7" s="1"/>
  <c r="AY76" i="7"/>
  <c r="X30" i="7"/>
  <c r="AT167" i="7"/>
  <c r="AT166" i="7" s="1"/>
  <c r="AT172" i="7" s="1"/>
  <c r="AJ76" i="7"/>
  <c r="AI170" i="7"/>
  <c r="AZ124" i="7"/>
  <c r="AK29" i="7"/>
  <c r="AF215" i="7"/>
  <c r="AF214" i="7" s="1"/>
  <c r="AF220" i="7" s="1"/>
  <c r="AV217" i="7"/>
  <c r="U217" i="7"/>
  <c r="BD123" i="7"/>
  <c r="AP261" i="7"/>
  <c r="AP260" i="7" s="1"/>
  <c r="AP266" i="7" s="1"/>
  <c r="AB263" i="7"/>
  <c r="AO29" i="7"/>
  <c r="AM121" i="7"/>
  <c r="AM120" i="7" s="1"/>
  <c r="AM126" i="7" s="1"/>
  <c r="AV30" i="7"/>
  <c r="AP218" i="7"/>
  <c r="Y215" i="7"/>
  <c r="Y214" i="7" s="1"/>
  <c r="Y220" i="7" s="1"/>
  <c r="AH29" i="7"/>
  <c r="BD263" i="7"/>
  <c r="AT29" i="7"/>
  <c r="AP123" i="7"/>
  <c r="AC75" i="7"/>
  <c r="BB29" i="7"/>
  <c r="AO263" i="7"/>
  <c r="AE124" i="7"/>
  <c r="W218" i="7"/>
  <c r="AF29" i="7"/>
  <c r="T75" i="7"/>
  <c r="AD261" i="7"/>
  <c r="AD260" i="7" s="1"/>
  <c r="AD266" i="7" s="1"/>
  <c r="AC170" i="7"/>
  <c r="AQ73" i="7"/>
  <c r="AQ72" i="7" s="1"/>
  <c r="AQ78" i="7" s="1"/>
  <c r="AZ170" i="7"/>
  <c r="AP217" i="7"/>
  <c r="AF217" i="7"/>
  <c r="AT75" i="7"/>
  <c r="AK124" i="7"/>
  <c r="AF121" i="7"/>
  <c r="AF120" i="7" s="1"/>
  <c r="AF126" i="7" s="1"/>
  <c r="AC169" i="7"/>
  <c r="X76" i="7"/>
  <c r="BC217" i="7"/>
  <c r="AS29" i="7"/>
  <c r="AU167" i="7"/>
  <c r="AU166" i="7" s="1"/>
  <c r="AU172" i="7" s="1"/>
  <c r="BC73" i="7"/>
  <c r="BC72" i="7" s="1"/>
  <c r="BC78" i="7" s="1"/>
  <c r="AL169" i="7"/>
  <c r="AC29" i="7"/>
  <c r="X124" i="7"/>
  <c r="AG215" i="7"/>
  <c r="AG214" i="7" s="1"/>
  <c r="AG220" i="7" s="1"/>
  <c r="AV261" i="7"/>
  <c r="AV260" i="7" s="1"/>
  <c r="AV266" i="7" s="1"/>
  <c r="AV264" i="7"/>
  <c r="BC76" i="7"/>
  <c r="AS261" i="7"/>
  <c r="AS260" i="7" s="1"/>
  <c r="AS266" i="7" s="1"/>
  <c r="BE169" i="7"/>
  <c r="Y264" i="7"/>
  <c r="W167" i="7"/>
  <c r="W166" i="7" s="1"/>
  <c r="W172" i="7" s="1"/>
  <c r="W261" i="7"/>
  <c r="W260" i="7" s="1"/>
  <c r="W266" i="7" s="1"/>
  <c r="BB170" i="7"/>
  <c r="AB30" i="7"/>
  <c r="BD261" i="7"/>
  <c r="BD260" i="7" s="1"/>
  <c r="BD266" i="7" s="1"/>
  <c r="AN263" i="7"/>
  <c r="AQ76" i="7"/>
  <c r="AP121" i="7"/>
  <c r="AP120" i="7" s="1"/>
  <c r="AP126" i="7" s="1"/>
  <c r="Y217" i="7"/>
  <c r="AJ264" i="7"/>
  <c r="AR27" i="7"/>
  <c r="AR26" i="7" s="1"/>
  <c r="AR32" i="7" s="1"/>
  <c r="Y30" i="7"/>
  <c r="AQ169" i="7"/>
  <c r="AK169" i="7"/>
  <c r="AG30" i="7"/>
  <c r="AK167" i="7"/>
  <c r="AK166" i="7" s="1"/>
  <c r="AK172" i="7" s="1"/>
  <c r="AC30" i="7"/>
  <c r="AS27" i="7"/>
  <c r="AS26" i="7" s="1"/>
  <c r="AS32" i="7" s="1"/>
  <c r="AN167" i="7"/>
  <c r="AN166" i="7" s="1"/>
  <c r="AN172" i="7" s="1"/>
  <c r="AP141" i="7" l="1"/>
  <c r="AP146" i="7"/>
  <c r="AF141" i="7"/>
  <c r="AF146" i="7"/>
  <c r="AF147" i="7" s="1"/>
  <c r="Y235" i="7"/>
  <c r="Y240" i="7"/>
  <c r="Y241" i="7" s="1"/>
  <c r="AA47" i="7"/>
  <c r="AA52" i="7"/>
  <c r="AZ235" i="7"/>
  <c r="AZ240" i="7"/>
  <c r="AZ241" i="7" s="1"/>
  <c r="AJ281" i="7"/>
  <c r="AJ286" i="7"/>
  <c r="AJ287" i="7" s="1"/>
  <c r="AP93" i="7"/>
  <c r="AP98" i="7"/>
  <c r="AP99" i="7" s="1"/>
  <c r="AG93" i="7"/>
  <c r="AG98" i="7"/>
  <c r="AW141" i="7"/>
  <c r="AW146" i="7"/>
  <c r="T187" i="7"/>
  <c r="T192" i="7"/>
  <c r="AQ281" i="7"/>
  <c r="AQ286" i="7"/>
  <c r="AX187" i="7"/>
  <c r="AX192" i="7"/>
  <c r="AZ187" i="7"/>
  <c r="AZ192" i="7"/>
  <c r="AZ193" i="7" s="1"/>
  <c r="AR93" i="7"/>
  <c r="AR98" i="7"/>
  <c r="U281" i="7"/>
  <c r="U286" i="7"/>
  <c r="U287" i="7" s="1"/>
  <c r="AA187" i="7"/>
  <c r="AA192" i="7"/>
  <c r="AA193" i="7" s="1"/>
  <c r="AN47" i="7"/>
  <c r="AN52" i="7"/>
  <c r="AN53" i="7" s="1"/>
  <c r="U192" i="7"/>
  <c r="U187" i="7"/>
  <c r="U193" i="7" s="1"/>
  <c r="AJ235" i="7"/>
  <c r="AJ240" i="7"/>
  <c r="V187" i="7"/>
  <c r="V192" i="7"/>
  <c r="BA187" i="7"/>
  <c r="BA192" i="7"/>
  <c r="BA193" i="7" s="1"/>
  <c r="AG47" i="7"/>
  <c r="AG52" i="7"/>
  <c r="AG53" i="7" s="1"/>
  <c r="AZ98" i="7"/>
  <c r="AZ93" i="7"/>
  <c r="AZ99" i="7" s="1"/>
  <c r="AS187" i="7"/>
  <c r="AS192" i="7"/>
  <c r="AS193" i="7" s="1"/>
  <c r="BB281" i="7"/>
  <c r="BB286" i="7"/>
  <c r="AY187" i="7"/>
  <c r="AY192" i="7"/>
  <c r="BD187" i="7"/>
  <c r="BD192" i="7"/>
  <c r="BD193" i="7" s="1"/>
  <c r="T141" i="7"/>
  <c r="T146" i="7"/>
  <c r="T147" i="7" s="1"/>
  <c r="AW187" i="7"/>
  <c r="AW192" i="7"/>
  <c r="BC187" i="7"/>
  <c r="BC192" i="7"/>
  <c r="S141" i="7"/>
  <c r="S146" i="7"/>
  <c r="AR47" i="7"/>
  <c r="AR52" i="7"/>
  <c r="AR53" i="7" s="1"/>
  <c r="BA240" i="7"/>
  <c r="BA235" i="7"/>
  <c r="BA241" i="7" s="1"/>
  <c r="AU93" i="7"/>
  <c r="AU98" i="7"/>
  <c r="BE281" i="7"/>
  <c r="BE286" i="7"/>
  <c r="BE287" i="7" s="1"/>
  <c r="Z187" i="7"/>
  <c r="Z192" i="7"/>
  <c r="AT235" i="7"/>
  <c r="AT240" i="7"/>
  <c r="AT241" i="7" s="1"/>
  <c r="AY281" i="7"/>
  <c r="AY286" i="7"/>
  <c r="BB187" i="7"/>
  <c r="BB192" i="7"/>
  <c r="AK93" i="7"/>
  <c r="AK98" i="7"/>
  <c r="AV187" i="7"/>
  <c r="AV192" i="7"/>
  <c r="AV193" i="7" s="1"/>
  <c r="BB141" i="7"/>
  <c r="BB146" i="7"/>
  <c r="BB147" i="7" s="1"/>
  <c r="AO235" i="7"/>
  <c r="AO240" i="7"/>
  <c r="AO241" i="7" s="1"/>
  <c r="BC141" i="7"/>
  <c r="BC146" i="7"/>
  <c r="BC147" i="7" s="1"/>
  <c r="AB47" i="7"/>
  <c r="AB52" i="7"/>
  <c r="AB53" i="7" s="1"/>
  <c r="BB47" i="7"/>
  <c r="BB52" i="7"/>
  <c r="BB53" i="7" s="1"/>
  <c r="AO47" i="7"/>
  <c r="AO52" i="7"/>
  <c r="AM47" i="7"/>
  <c r="AM52" i="7"/>
  <c r="AM53" i="7" s="1"/>
  <c r="AS93" i="7"/>
  <c r="AS98" i="7"/>
  <c r="BA281" i="7"/>
  <c r="BA286" i="7"/>
  <c r="AJ47" i="7"/>
  <c r="AJ52" i="7"/>
  <c r="BC235" i="7"/>
  <c r="BC240" i="7"/>
  <c r="AY93" i="7"/>
  <c r="AY98" i="7"/>
  <c r="AS47" i="7"/>
  <c r="AS52" i="7"/>
  <c r="W281" i="7"/>
  <c r="W286" i="7"/>
  <c r="W287" i="7" s="1"/>
  <c r="AS281" i="7"/>
  <c r="AS286" i="7"/>
  <c r="AG235" i="7"/>
  <c r="AG240" i="7"/>
  <c r="AG241" i="7" s="1"/>
  <c r="BC93" i="7"/>
  <c r="BC98" i="7"/>
  <c r="AQ93" i="7"/>
  <c r="AQ98" i="7"/>
  <c r="AP281" i="7"/>
  <c r="AP286" i="7"/>
  <c r="AF240" i="7"/>
  <c r="AF235" i="7"/>
  <c r="AF241" i="7" s="1"/>
  <c r="V281" i="7"/>
  <c r="V286" i="7"/>
  <c r="BD235" i="7"/>
  <c r="BD240" i="7"/>
  <c r="AR187" i="7"/>
  <c r="AR192" i="7"/>
  <c r="AX93" i="7"/>
  <c r="AX98" i="7"/>
  <c r="AX99" i="7" s="1"/>
  <c r="AF281" i="7"/>
  <c r="AF286" i="7"/>
  <c r="AJ141" i="7"/>
  <c r="AJ146" i="7"/>
  <c r="AJ147" i="7" s="1"/>
  <c r="AR235" i="7"/>
  <c r="AR240" i="7"/>
  <c r="AQ141" i="7"/>
  <c r="AQ146" i="7"/>
  <c r="AY141" i="7"/>
  <c r="AY146" i="7"/>
  <c r="AY147" i="7" s="1"/>
  <c r="BA47" i="7"/>
  <c r="BA52" i="7"/>
  <c r="AR281" i="7"/>
  <c r="AR286" i="7"/>
  <c r="AX281" i="7"/>
  <c r="AX286" i="7"/>
  <c r="AX287" i="7" s="1"/>
  <c r="AF47" i="7"/>
  <c r="AF52" i="7"/>
  <c r="AD187" i="7"/>
  <c r="AD192" i="7"/>
  <c r="AH187" i="7"/>
  <c r="AH192" i="7"/>
  <c r="U235" i="7"/>
  <c r="U240" i="7"/>
  <c r="Z235" i="7"/>
  <c r="Z240" i="7"/>
  <c r="Z241" i="7" s="1"/>
  <c r="AW235" i="7"/>
  <c r="AW240" i="7"/>
  <c r="AC281" i="7"/>
  <c r="AC286" i="7"/>
  <c r="AC287" i="7" s="1"/>
  <c r="S187" i="7"/>
  <c r="S192" i="7"/>
  <c r="BD141" i="7"/>
  <c r="BD146" i="7"/>
  <c r="AB281" i="7"/>
  <c r="AB286" i="7"/>
  <c r="AB287" i="7" s="1"/>
  <c r="AI47" i="7"/>
  <c r="AI52" i="7"/>
  <c r="AA235" i="7"/>
  <c r="AA240" i="7"/>
  <c r="AA241" i="7" s="1"/>
  <c r="BD93" i="7"/>
  <c r="BD98" i="7"/>
  <c r="BD99" i="7" s="1"/>
  <c r="AO93" i="7"/>
  <c r="AO98" i="7"/>
  <c r="AO99" i="7" s="1"/>
  <c r="AI187" i="7"/>
  <c r="AI192" i="7"/>
  <c r="AB141" i="7"/>
  <c r="AB146" i="7"/>
  <c r="AU281" i="7"/>
  <c r="AU286" i="7"/>
  <c r="AM235" i="7"/>
  <c r="AM240" i="7"/>
  <c r="Z281" i="7"/>
  <c r="Z286" i="7"/>
  <c r="AA93" i="7"/>
  <c r="AA98" i="7"/>
  <c r="AA141" i="7"/>
  <c r="AA146" i="7"/>
  <c r="S93" i="7"/>
  <c r="S98" i="7"/>
  <c r="AH93" i="7"/>
  <c r="AH98" i="7"/>
  <c r="AH99" i="7" s="1"/>
  <c r="AL187" i="7"/>
  <c r="AL192" i="7"/>
  <c r="W141" i="7"/>
  <c r="W146" i="7"/>
  <c r="AS235" i="7"/>
  <c r="AS240" i="7"/>
  <c r="AC93" i="7"/>
  <c r="AC98" i="7"/>
  <c r="Y47" i="7"/>
  <c r="Y52" i="7"/>
  <c r="Y53" i="7" s="1"/>
  <c r="AL281" i="7"/>
  <c r="AL286" i="7"/>
  <c r="AL287" i="7" s="1"/>
  <c r="AW47" i="7"/>
  <c r="AW52" i="7"/>
  <c r="AW53" i="7" s="1"/>
  <c r="AS141" i="7"/>
  <c r="AS146" i="7"/>
  <c r="AB187" i="7"/>
  <c r="AB192" i="7"/>
  <c r="AB193" i="7" s="1"/>
  <c r="AF187" i="7"/>
  <c r="AF192" i="7"/>
  <c r="Z47" i="7"/>
  <c r="Z52" i="7"/>
  <c r="AC235" i="7"/>
  <c r="AC240" i="7"/>
  <c r="AV47" i="7"/>
  <c r="AV52" i="7"/>
  <c r="V47" i="7"/>
  <c r="V52" i="7"/>
  <c r="AL93" i="7"/>
  <c r="AL98" i="7"/>
  <c r="AD47" i="7"/>
  <c r="AD52" i="7"/>
  <c r="AD53" i="7" s="1"/>
  <c r="AK192" i="7"/>
  <c r="AK187" i="7"/>
  <c r="AK193" i="7" s="1"/>
  <c r="AD281" i="7"/>
  <c r="AD286" i="7"/>
  <c r="AD287" i="7" s="1"/>
  <c r="AO187" i="7"/>
  <c r="AO192" i="7"/>
  <c r="AO193" i="7" s="1"/>
  <c r="AH47" i="7"/>
  <c r="AH52" i="7"/>
  <c r="AU141" i="7"/>
  <c r="AU146" i="7"/>
  <c r="AF98" i="7"/>
  <c r="AF93" i="7"/>
  <c r="AF99" i="7" s="1"/>
  <c r="AI93" i="7"/>
  <c r="AI98" i="7"/>
  <c r="S235" i="7"/>
  <c r="S240" i="7"/>
  <c r="AU235" i="7"/>
  <c r="AU240" i="7"/>
  <c r="AZ141" i="7"/>
  <c r="AZ146" i="7"/>
  <c r="AZ147" i="7" s="1"/>
  <c r="AK281" i="7"/>
  <c r="AK286" i="7"/>
  <c r="AL141" i="7"/>
  <c r="AL146" i="7"/>
  <c r="AO141" i="7"/>
  <c r="AO146" i="7"/>
  <c r="BE47" i="7"/>
  <c r="BE52" i="7"/>
  <c r="BE53" i="7" s="1"/>
  <c r="AA281" i="7"/>
  <c r="AA286" i="7"/>
  <c r="Y141" i="7"/>
  <c r="Y146" i="7"/>
  <c r="AD141" i="7"/>
  <c r="AD146" i="7"/>
  <c r="AT93" i="7"/>
  <c r="AT98" i="7"/>
  <c r="U93" i="7"/>
  <c r="U98" i="7"/>
  <c r="V141" i="7"/>
  <c r="V146" i="7"/>
  <c r="S47" i="7"/>
  <c r="S52" i="7"/>
  <c r="AI235" i="7"/>
  <c r="AI240" i="7"/>
  <c r="AK47" i="7"/>
  <c r="AK52" i="7"/>
  <c r="AY47" i="7"/>
  <c r="AY52" i="7"/>
  <c r="T47" i="7"/>
  <c r="T52" i="7"/>
  <c r="BE141" i="7"/>
  <c r="BE146" i="7"/>
  <c r="AU47" i="7"/>
  <c r="AU52" i="7"/>
  <c r="AU53" i="7" s="1"/>
  <c r="BB235" i="7"/>
  <c r="BB240" i="7"/>
  <c r="BB241" i="7" s="1"/>
  <c r="BC47" i="7"/>
  <c r="BC52" i="7"/>
  <c r="AX141" i="7"/>
  <c r="AX146" i="7"/>
  <c r="AX147" i="7" s="1"/>
  <c r="AN187" i="7"/>
  <c r="AN192" i="7"/>
  <c r="AV281" i="7"/>
  <c r="AV286" i="7"/>
  <c r="AQ235" i="7"/>
  <c r="AQ240" i="7"/>
  <c r="AQ241" i="7" s="1"/>
  <c r="BE93" i="7"/>
  <c r="BE98" i="7"/>
  <c r="BE99" i="7" s="1"/>
  <c r="AI141" i="7"/>
  <c r="AI146" i="7"/>
  <c r="X93" i="7"/>
  <c r="X98" i="7"/>
  <c r="AJ187" i="7"/>
  <c r="AJ192" i="7"/>
  <c r="AJ193" i="7" s="1"/>
  <c r="AL235" i="7"/>
  <c r="AL240" i="7"/>
  <c r="AP187" i="7"/>
  <c r="AP192" i="7"/>
  <c r="AP193" i="7" s="1"/>
  <c r="AN235" i="7"/>
  <c r="AN240" i="7"/>
  <c r="AN241" i="7" s="1"/>
  <c r="AC141" i="7"/>
  <c r="AC146" i="7"/>
  <c r="AC147" i="7" s="1"/>
  <c r="AH235" i="7"/>
  <c r="AH240" i="7"/>
  <c r="AH241" i="7" s="1"/>
  <c r="AG187" i="7"/>
  <c r="AG192" i="7"/>
  <c r="AG193" i="7" s="1"/>
  <c r="V93" i="7"/>
  <c r="V98" i="7"/>
  <c r="AM93" i="7"/>
  <c r="AM98" i="7"/>
  <c r="AV141" i="7"/>
  <c r="AV146" i="7"/>
  <c r="AC47" i="7"/>
  <c r="AC52" i="7"/>
  <c r="AN141" i="7"/>
  <c r="AN146" i="7"/>
  <c r="AN147" i="7" s="1"/>
  <c r="AT281" i="7"/>
  <c r="AT286" i="7"/>
  <c r="AD93" i="7"/>
  <c r="AD98" i="7"/>
  <c r="V235" i="7"/>
  <c r="V240" i="7"/>
  <c r="AZ47" i="7"/>
  <c r="AZ52" i="7"/>
  <c r="Q93" i="7"/>
  <c r="Q98" i="7"/>
  <c r="Y93" i="7"/>
  <c r="Y98" i="7"/>
  <c r="AE281" i="7"/>
  <c r="AE286" i="7"/>
  <c r="AE287" i="7" s="1"/>
  <c r="AQ187" i="7"/>
  <c r="AQ192" i="7"/>
  <c r="BD281" i="7"/>
  <c r="BD286" i="7"/>
  <c r="BD287" i="7" s="1"/>
  <c r="W187" i="7"/>
  <c r="W192" i="7"/>
  <c r="W193" i="7" s="1"/>
  <c r="AU192" i="7"/>
  <c r="AU187" i="7"/>
  <c r="AU193" i="7" s="1"/>
  <c r="AM141" i="7"/>
  <c r="AM146" i="7"/>
  <c r="AT187" i="7"/>
  <c r="AT192" i="7"/>
  <c r="AT193" i="7" s="1"/>
  <c r="AY235" i="7"/>
  <c r="AY240" i="7"/>
  <c r="AY241" i="7" s="1"/>
  <c r="BE187" i="7"/>
  <c r="BE192" i="7"/>
  <c r="BE193" i="7" s="1"/>
  <c r="X240" i="7"/>
  <c r="X235" i="7"/>
  <c r="X241" i="7" s="1"/>
  <c r="AE141" i="7"/>
  <c r="AE146" i="7"/>
  <c r="AE147" i="7" s="1"/>
  <c r="AE235" i="7"/>
  <c r="AE240" i="7"/>
  <c r="Z93" i="7"/>
  <c r="Z98" i="7"/>
  <c r="X141" i="7"/>
  <c r="X146" i="7"/>
  <c r="X147" i="7" s="1"/>
  <c r="AG281" i="7"/>
  <c r="AG286" i="7"/>
  <c r="AO281" i="7"/>
  <c r="AO286" i="7"/>
  <c r="AM281" i="7"/>
  <c r="AM286" i="7"/>
  <c r="AM287" i="7" s="1"/>
  <c r="X187" i="7"/>
  <c r="X192" i="7"/>
  <c r="BB93" i="7"/>
  <c r="BB98" i="7"/>
  <c r="BB99" i="7" s="1"/>
  <c r="Y187" i="7"/>
  <c r="Y192" i="7"/>
  <c r="Y193" i="7" s="1"/>
  <c r="AE187" i="7"/>
  <c r="AE192" i="7"/>
  <c r="AM187" i="7"/>
  <c r="AM192" i="7"/>
  <c r="AM193" i="7" s="1"/>
  <c r="T93" i="7"/>
  <c r="T98" i="7"/>
  <c r="X281" i="7"/>
  <c r="X286" i="7"/>
  <c r="X287" i="7" s="1"/>
  <c r="BC281" i="7"/>
  <c r="BC286" i="7"/>
  <c r="BC287" i="7" s="1"/>
  <c r="AX47" i="7"/>
  <c r="AX52" i="7"/>
  <c r="AX53" i="7" s="1"/>
  <c r="S281" i="7"/>
  <c r="S286" i="7"/>
  <c r="T235" i="7"/>
  <c r="T240" i="7"/>
  <c r="T241" i="7" s="1"/>
  <c r="U47" i="7"/>
  <c r="U52" i="7"/>
  <c r="U53" i="7" s="1"/>
  <c r="AN281" i="7"/>
  <c r="AN286" i="7"/>
  <c r="AE47" i="7"/>
  <c r="AE52" i="7"/>
  <c r="AE53" i="7" s="1"/>
  <c r="W47" i="7"/>
  <c r="W52" i="7"/>
  <c r="BE235" i="7"/>
  <c r="BE240" i="7"/>
  <c r="BE241" i="7" s="1"/>
  <c r="AX235" i="7"/>
  <c r="AX240" i="7"/>
  <c r="AX241" i="7" s="1"/>
  <c r="AH141" i="7"/>
  <c r="AH146" i="7"/>
  <c r="AN93" i="7"/>
  <c r="AN98" i="7"/>
  <c r="AN99" i="7" s="1"/>
  <c r="AG141" i="7"/>
  <c r="AG146" i="7"/>
  <c r="AG147" i="7" s="1"/>
  <c r="AK141" i="7"/>
  <c r="AK146" i="7"/>
  <c r="AC187" i="7"/>
  <c r="AC192" i="7"/>
  <c r="AC193" i="7" s="1"/>
  <c r="AV93" i="7"/>
  <c r="AV98" i="7"/>
  <c r="Z141" i="7"/>
  <c r="Z146" i="7"/>
  <c r="AV235" i="7"/>
  <c r="AV240" i="7"/>
  <c r="Y281" i="7"/>
  <c r="Y286" i="7"/>
  <c r="Y287" i="7" s="1"/>
  <c r="BA93" i="7"/>
  <c r="BA98" i="7"/>
  <c r="W235" i="7"/>
  <c r="W240" i="7"/>
  <c r="W241" i="7" s="1"/>
  <c r="AZ281" i="7"/>
  <c r="AZ286" i="7"/>
  <c r="AZ287" i="7" s="1"/>
  <c r="AQ47" i="7"/>
  <c r="AQ52" i="7"/>
  <c r="BD47" i="7"/>
  <c r="BD52" i="7"/>
  <c r="AW281" i="7"/>
  <c r="AW286" i="7"/>
  <c r="AW287" i="7" s="1"/>
  <c r="AK235" i="7"/>
  <c r="AK240" i="7"/>
  <c r="AK241" i="7" s="1"/>
  <c r="AH286" i="7"/>
  <c r="AH281" i="7"/>
  <c r="AH287" i="7" s="1"/>
  <c r="AL47" i="7"/>
  <c r="AL52" i="7"/>
  <c r="AL53" i="7" s="1"/>
  <c r="AD235" i="7"/>
  <c r="AD240" i="7"/>
  <c r="W93" i="7"/>
  <c r="W98" i="7"/>
  <c r="AE93" i="7"/>
  <c r="AE98" i="7"/>
  <c r="AT141" i="7"/>
  <c r="AT146" i="7"/>
  <c r="AT147" i="7" s="1"/>
  <c r="AP47" i="7"/>
  <c r="AP52" i="7"/>
  <c r="AP53" i="7" s="1"/>
  <c r="AP235" i="7"/>
  <c r="AP240" i="7"/>
  <c r="AP241" i="7" s="1"/>
  <c r="AT47" i="7"/>
  <c r="AT52" i="7"/>
  <c r="AI281" i="7"/>
  <c r="AI286" i="7"/>
  <c r="AI287" i="7" s="1"/>
  <c r="AB235" i="7"/>
  <c r="AB240" i="7"/>
  <c r="AB241" i="7" s="1"/>
  <c r="AB93" i="7"/>
  <c r="AB98" i="7"/>
  <c r="T281" i="7"/>
  <c r="T286" i="7"/>
  <c r="Q235" i="7"/>
  <c r="Q240" i="7"/>
  <c r="Q241" i="7" s="1"/>
  <c r="U141" i="7"/>
  <c r="U146" i="7"/>
  <c r="U147" i="7" s="1"/>
  <c r="BA141" i="7"/>
  <c r="BA146" i="7"/>
  <c r="AR141" i="7"/>
  <c r="AR146" i="7"/>
  <c r="AJ98" i="7"/>
  <c r="AJ93" i="7"/>
  <c r="AJ99" i="7" s="1"/>
  <c r="X47" i="7"/>
  <c r="X52" i="7"/>
  <c r="X53" i="7" s="1"/>
  <c r="AW93" i="7"/>
  <c r="AW98" i="7"/>
  <c r="AB99" i="7" l="1"/>
  <c r="W99" i="7"/>
  <c r="AV241" i="7"/>
  <c r="AK147" i="7"/>
  <c r="W53" i="7"/>
  <c r="X193" i="7"/>
  <c r="Y99" i="7"/>
  <c r="AD99" i="7"/>
  <c r="AV147" i="7"/>
  <c r="X99" i="7"/>
  <c r="BE147" i="7"/>
  <c r="AI241" i="7"/>
  <c r="Y147" i="7"/>
  <c r="S241" i="7"/>
  <c r="AH53" i="7"/>
  <c r="AC241" i="7"/>
  <c r="AS147" i="7"/>
  <c r="W147" i="7"/>
  <c r="Z287" i="7"/>
  <c r="AI193" i="7"/>
  <c r="AI53" i="7"/>
  <c r="AH193" i="7"/>
  <c r="AR287" i="7"/>
  <c r="AF287" i="7"/>
  <c r="V287" i="7"/>
  <c r="BC99" i="7"/>
  <c r="AS287" i="7"/>
  <c r="BC241" i="7"/>
  <c r="AY287" i="7"/>
  <c r="AU99" i="7"/>
  <c r="BC193" i="7"/>
  <c r="V193" i="7"/>
  <c r="AR99" i="7"/>
  <c r="T193" i="7"/>
  <c r="AG99" i="7"/>
  <c r="AW99" i="7"/>
  <c r="BA147" i="7"/>
  <c r="BD53" i="7"/>
  <c r="BA99" i="7"/>
  <c r="AV99" i="7"/>
  <c r="AN287" i="7"/>
  <c r="AO287" i="7"/>
  <c r="AE241" i="7"/>
  <c r="AM147" i="7"/>
  <c r="AQ193" i="7"/>
  <c r="AZ53" i="7"/>
  <c r="V99" i="7"/>
  <c r="AL241" i="7"/>
  <c r="AV287" i="7"/>
  <c r="AY53" i="7"/>
  <c r="V147" i="7"/>
  <c r="AT99" i="7"/>
  <c r="AL147" i="7"/>
  <c r="V53" i="7"/>
  <c r="AF193" i="7"/>
  <c r="AC99" i="7"/>
  <c r="AA147" i="7"/>
  <c r="AU287" i="7"/>
  <c r="BD147" i="7"/>
  <c r="AF53" i="7"/>
  <c r="AR241" i="7"/>
  <c r="AR193" i="7"/>
  <c r="AP287" i="7"/>
  <c r="AS53" i="7"/>
  <c r="BA287" i="7"/>
  <c r="AK99" i="7"/>
  <c r="Z193" i="7"/>
  <c r="AY193" i="7"/>
  <c r="AX193" i="7"/>
  <c r="AA53" i="7"/>
  <c r="AR147" i="7"/>
  <c r="T287" i="7"/>
  <c r="AT53" i="7"/>
  <c r="AE99" i="7"/>
  <c r="AD241" i="7"/>
  <c r="AQ53" i="7"/>
  <c r="Z147" i="7"/>
  <c r="AH147" i="7"/>
  <c r="S287" i="7"/>
  <c r="G290" i="7" s="1"/>
  <c r="T99" i="7"/>
  <c r="AE193" i="7"/>
  <c r="AG287" i="7"/>
  <c r="Z99" i="7"/>
  <c r="Q99" i="7"/>
  <c r="G102" i="7" s="1"/>
  <c r="V241" i="7"/>
  <c r="AT287" i="7"/>
  <c r="AC53" i="7"/>
  <c r="AM99" i="7"/>
  <c r="AI147" i="7"/>
  <c r="AN193" i="7"/>
  <c r="BC53" i="7"/>
  <c r="T53" i="7"/>
  <c r="AK53" i="7"/>
  <c r="S53" i="7"/>
  <c r="G56" i="7" s="1"/>
  <c r="U99" i="7"/>
  <c r="AD147" i="7"/>
  <c r="AA287" i="7"/>
  <c r="AO147" i="7"/>
  <c r="AK287" i="7"/>
  <c r="AU241" i="7"/>
  <c r="AI99" i="7"/>
  <c r="AU147" i="7"/>
  <c r="AL99" i="7"/>
  <c r="AV53" i="7"/>
  <c r="Z53" i="7"/>
  <c r="AS241" i="7"/>
  <c r="AL193" i="7"/>
  <c r="S99" i="7"/>
  <c r="AA99" i="7"/>
  <c r="AM241" i="7"/>
  <c r="AB147" i="7"/>
  <c r="S193" i="7"/>
  <c r="G196" i="7" s="1"/>
  <c r="G198" i="7" s="1"/>
  <c r="G199" i="7" s="1"/>
  <c r="O16" i="1" s="1"/>
  <c r="AW241" i="7"/>
  <c r="U241" i="7"/>
  <c r="G244" i="7" s="1"/>
  <c r="AD193" i="7"/>
  <c r="BA53" i="7"/>
  <c r="AQ147" i="7"/>
  <c r="BD241" i="7"/>
  <c r="AQ99" i="7"/>
  <c r="AY99" i="7"/>
  <c r="AJ53" i="7"/>
  <c r="AS99" i="7"/>
  <c r="AO53" i="7"/>
  <c r="BB193" i="7"/>
  <c r="S147" i="7"/>
  <c r="AW193" i="7"/>
  <c r="BB287" i="7"/>
  <c r="AJ241" i="7"/>
  <c r="AQ287" i="7"/>
  <c r="AW147" i="7"/>
  <c r="AP147" i="7"/>
  <c r="G150" i="7" l="1"/>
  <c r="G152" i="7" s="1"/>
  <c r="G153" i="7" s="1"/>
  <c r="N16" i="1" s="1"/>
  <c r="R16" i="1" s="1"/>
  <c r="N68" i="1" l="1"/>
  <c r="L68" i="1"/>
  <c r="L148" i="1" l="1"/>
  <c r="N75" i="18" s="1"/>
  <c r="N53" i="18"/>
  <c r="L70" i="1"/>
  <c r="N148" i="1"/>
  <c r="P75" i="18" s="1"/>
  <c r="P53" i="18"/>
  <c r="N70" i="1"/>
  <c r="L71" i="1" l="1"/>
  <c r="L72" i="1" s="1"/>
  <c r="L142" i="1" s="1"/>
  <c r="L149" i="1"/>
  <c r="N76" i="18" s="1"/>
  <c r="L124" i="1"/>
  <c r="N71" i="1"/>
  <c r="N72" i="1" s="1"/>
  <c r="N142" i="1" s="1"/>
  <c r="N74" i="1"/>
  <c r="N75" i="1" s="1"/>
  <c r="N76" i="1" s="1"/>
  <c r="N124" i="1"/>
  <c r="N149" i="1"/>
  <c r="P76" i="18" s="1"/>
  <c r="P69" i="18" l="1"/>
  <c r="N143" i="1"/>
  <c r="P70" i="18" s="1"/>
  <c r="L134" i="1"/>
  <c r="J78" i="16"/>
  <c r="L78" i="16"/>
  <c r="N134" i="1"/>
  <c r="L152" i="1"/>
  <c r="N69" i="18"/>
  <c r="N61" i="18" l="1"/>
  <c r="L132" i="1"/>
  <c r="N59" i="18" s="1"/>
  <c r="N132" i="1"/>
  <c r="P59" i="18" s="1"/>
  <c r="P61" i="18"/>
  <c r="L155" i="1"/>
  <c r="N79" i="18"/>
  <c r="N82" i="18" l="1"/>
  <c r="N156" i="1"/>
  <c r="P83" i="18" s="1"/>
</calcChain>
</file>

<file path=xl/comments1.xml><?xml version="1.0" encoding="utf-8"?>
<comments xmlns="http://schemas.openxmlformats.org/spreadsheetml/2006/main">
  <authors>
    <author>Mehmet</author>
  </authors>
  <commentList>
    <comment ref="H39" authorId="0" shapeId="0">
      <text>
        <r>
          <rPr>
            <sz val="9"/>
            <color indexed="81"/>
            <rFont val="Tahoma"/>
            <family val="2"/>
          </rPr>
          <t>includes front-end fees for loans only.</t>
        </r>
      </text>
    </comment>
    <comment ref="H40" authorId="0" shapeId="0">
      <text>
        <r>
          <rPr>
            <sz val="9"/>
            <color indexed="81"/>
            <rFont val="Tahoma"/>
            <family val="2"/>
          </rPr>
          <t xml:space="preserve">includes front end fee and guarantee fee for guarantee coverage. Front-end fee is only included in Year 1. </t>
        </r>
      </text>
    </comment>
    <comment ref="H41" authorId="0" shapeId="0">
      <text>
        <r>
          <rPr>
            <sz val="9"/>
            <color indexed="81"/>
            <rFont val="Tahoma"/>
            <family val="2"/>
          </rPr>
          <t xml:space="preserve">includes front-end fee and annual risk insurance premium. Front end fee is only included in Year 1. </t>
        </r>
      </text>
    </comment>
    <comment ref="H85" authorId="0" shapeId="0">
      <text>
        <r>
          <rPr>
            <sz val="9"/>
            <color indexed="81"/>
            <rFont val="Tahoma"/>
            <family val="2"/>
          </rPr>
          <t>includes front-end fees for loans only.</t>
        </r>
      </text>
    </comment>
    <comment ref="H86" authorId="0" shapeId="0">
      <text>
        <r>
          <rPr>
            <sz val="9"/>
            <color indexed="81"/>
            <rFont val="Tahoma"/>
            <family val="2"/>
          </rPr>
          <t xml:space="preserve">includes front end fee and guarantee fee for guarantee coverage. Front-end fee is only included in Year 1. </t>
        </r>
      </text>
    </comment>
    <comment ref="H87" authorId="0" shapeId="0">
      <text>
        <r>
          <rPr>
            <sz val="9"/>
            <color indexed="81"/>
            <rFont val="Tahoma"/>
            <family val="2"/>
          </rPr>
          <t xml:space="preserve">includes front-end fee and annual risk insurance premium. Front end fee is only included in Year 1. </t>
        </r>
      </text>
    </comment>
    <comment ref="H133" authorId="0" shapeId="0">
      <text>
        <r>
          <rPr>
            <sz val="9"/>
            <color indexed="81"/>
            <rFont val="Tahoma"/>
            <family val="2"/>
          </rPr>
          <t>includes front-end fees for loans only.</t>
        </r>
      </text>
    </comment>
    <comment ref="H134" authorId="0" shapeId="0">
      <text>
        <r>
          <rPr>
            <sz val="9"/>
            <color indexed="81"/>
            <rFont val="Tahoma"/>
            <family val="2"/>
          </rPr>
          <t xml:space="preserve">includes front end fee and guarantee fee for guarantee coverage. Front-end fee is only included in Year 1. </t>
        </r>
      </text>
    </comment>
    <comment ref="H135" authorId="0" shapeId="0">
      <text>
        <r>
          <rPr>
            <sz val="9"/>
            <color indexed="81"/>
            <rFont val="Tahoma"/>
            <family val="2"/>
          </rPr>
          <t xml:space="preserve">includes front-end fee and annual risk insurance premium. Front end fee is only included in Year 1. </t>
        </r>
      </text>
    </comment>
    <comment ref="H179" authorId="0" shapeId="0">
      <text>
        <r>
          <rPr>
            <sz val="9"/>
            <color indexed="81"/>
            <rFont val="Tahoma"/>
            <family val="2"/>
          </rPr>
          <t>includes front-end fees for loans only.</t>
        </r>
      </text>
    </comment>
    <comment ref="H180" authorId="0" shapeId="0">
      <text>
        <r>
          <rPr>
            <sz val="9"/>
            <color indexed="81"/>
            <rFont val="Tahoma"/>
            <family val="2"/>
          </rPr>
          <t xml:space="preserve">includes front end fee and guarantee fee for guarantee coverage. Front-end fee is only included in Year 1. </t>
        </r>
      </text>
    </comment>
    <comment ref="H181" authorId="0" shapeId="0">
      <text>
        <r>
          <rPr>
            <sz val="9"/>
            <color indexed="81"/>
            <rFont val="Tahoma"/>
            <family val="2"/>
          </rPr>
          <t xml:space="preserve">includes front-end fee and annual risk insurance premium. Front end fee is only included in Year 1. </t>
        </r>
      </text>
    </comment>
    <comment ref="H227" authorId="0" shapeId="0">
      <text>
        <r>
          <rPr>
            <sz val="9"/>
            <color indexed="81"/>
            <rFont val="Tahoma"/>
            <family val="2"/>
          </rPr>
          <t>includes front-end fees for loans only.</t>
        </r>
      </text>
    </comment>
    <comment ref="H228" authorId="0" shapeId="0">
      <text>
        <r>
          <rPr>
            <sz val="9"/>
            <color indexed="81"/>
            <rFont val="Tahoma"/>
            <family val="2"/>
          </rPr>
          <t xml:space="preserve">includes front end fee and guarantee fee for guarantee coverage. Front-end fee is only included in Year 1. </t>
        </r>
      </text>
    </comment>
    <comment ref="H229" authorId="0" shapeId="0">
      <text>
        <r>
          <rPr>
            <sz val="9"/>
            <color indexed="81"/>
            <rFont val="Tahoma"/>
            <family val="2"/>
          </rPr>
          <t xml:space="preserve">includes front-end fee and annual risk insurance premium. Front end fee is only included in Year 1. </t>
        </r>
      </text>
    </comment>
    <comment ref="H273" authorId="0" shapeId="0">
      <text>
        <r>
          <rPr>
            <sz val="9"/>
            <color indexed="81"/>
            <rFont val="Tahoma"/>
            <family val="2"/>
          </rPr>
          <t>includes front-end fees for loans only.</t>
        </r>
      </text>
    </comment>
    <comment ref="H274" authorId="0" shapeId="0">
      <text>
        <r>
          <rPr>
            <sz val="9"/>
            <color indexed="81"/>
            <rFont val="Tahoma"/>
            <family val="2"/>
          </rPr>
          <t xml:space="preserve">includes front end fee and guarantee fee for guarantee coverage. Front-end fee is only included in Year 1. </t>
        </r>
      </text>
    </comment>
    <comment ref="H275" authorId="0" shape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shapeId="0">
      <text>
        <r>
          <rPr>
            <sz val="9"/>
            <color indexed="81"/>
            <rFont val="Tahoma"/>
            <family val="2"/>
          </rPr>
          <t>includes front-end fees for loans only.</t>
        </r>
      </text>
    </comment>
    <comment ref="H32" authorId="0" shapeId="0">
      <text>
        <r>
          <rPr>
            <sz val="9"/>
            <color indexed="81"/>
            <rFont val="Tahoma"/>
            <family val="2"/>
          </rPr>
          <t xml:space="preserve">includes front end fee and guarantee fee for guarantee coverage. Front-end fee is only included in Year 1. </t>
        </r>
      </text>
    </comment>
    <comment ref="H33" authorId="0" shapeId="0">
      <text>
        <r>
          <rPr>
            <sz val="9"/>
            <color indexed="81"/>
            <rFont val="Tahoma"/>
            <family val="2"/>
          </rPr>
          <t xml:space="preserve">includes front-end fee and annual risk insurance premium. Front end fee is only included in Year 1. </t>
        </r>
      </text>
    </comment>
    <comment ref="H121" authorId="0" shapeId="0">
      <text>
        <r>
          <rPr>
            <sz val="9"/>
            <color indexed="81"/>
            <rFont val="Tahoma"/>
            <family val="2"/>
          </rPr>
          <t>includes front-end fees for loans only.</t>
        </r>
      </text>
    </comment>
    <comment ref="H122" authorId="0" shapeId="0">
      <text>
        <r>
          <rPr>
            <sz val="9"/>
            <color indexed="81"/>
            <rFont val="Tahoma"/>
            <family val="2"/>
          </rPr>
          <t xml:space="preserve">includes front end fee and guarantee fee for guarantee coverage. Front-end fee is only included in Year 1. </t>
        </r>
      </text>
    </comment>
    <comment ref="H123" authorId="0" shapeId="0">
      <text>
        <r>
          <rPr>
            <sz val="9"/>
            <color indexed="81"/>
            <rFont val="Tahoma"/>
            <family val="2"/>
          </rPr>
          <t xml:space="preserve">includes front-end fee and annual risk insurance premium. Front end fee is only included in Year 1. </t>
        </r>
      </text>
    </comment>
  </commentList>
</comments>
</file>

<file path=xl/sharedStrings.xml><?xml version="1.0" encoding="utf-8"?>
<sst xmlns="http://schemas.openxmlformats.org/spreadsheetml/2006/main" count="3060" uniqueCount="640">
  <si>
    <t>Social Acceptance Risk</t>
  </si>
  <si>
    <t>Counterparty Risk</t>
  </si>
  <si>
    <t>Financial Sector Risk</t>
  </si>
  <si>
    <t>Political Risk</t>
  </si>
  <si>
    <t>Cost of Equity</t>
  </si>
  <si>
    <t>Strengthening utility's management &amp; operational performance for existing operations</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</si>
  <si>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</si>
  <si>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</si>
  <si>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</si>
  <si>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</si>
  <si>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</si>
  <si>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</si>
  <si>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</si>
  <si>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</si>
  <si>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</si>
  <si>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</si>
  <si>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</si>
  <si>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</si>
  <si>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</si>
  <si>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</si>
  <si>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</si>
  <si>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</si>
  <si>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</si>
  <si>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</si>
  <si>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</si>
  <si>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</si>
  <si>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</si>
  <si>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</si>
  <si>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</si>
  <si>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</si>
  <si>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</si>
  <si>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</si>
  <si>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</si>
  <si>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</si>
  <si>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</si>
  <si>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</si>
  <si>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</si>
  <si>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</si>
  <si>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</si>
  <si>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Natural Gas</t>
  </si>
  <si>
    <t>Heavy Fuel Oil</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</si>
  <si>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</si>
  <si>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</si>
  <si>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</si>
  <si>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</si>
  <si>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</si>
  <si>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</si>
  <si>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</si>
  <si>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</si>
  <si>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</si>
  <si>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</si>
  <si>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</si>
  <si>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</si>
  <si>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</si>
  <si>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</si>
  <si>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</si>
  <si>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</si>
  <si>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</si>
  <si>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</si>
  <si>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</si>
  <si>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</si>
  <si>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</si>
  <si>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</si>
  <si>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</si>
  <si>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</si>
  <si>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</si>
  <si>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</si>
  <si>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</si>
  <si>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</si>
  <si>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</si>
  <si>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</si>
  <si>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</si>
  <si>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</si>
  <si>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</si>
  <si>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</si>
  <si>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</si>
  <si>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</si>
  <si>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</si>
  <si>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</si>
  <si>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</si>
  <si>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</si>
  <si>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</si>
  <si>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</si>
  <si>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</si>
  <si>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</si>
  <si>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</si>
  <si>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</si>
  <si>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</si>
  <si>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</si>
  <si>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</si>
  <si>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</si>
  <si>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</si>
  <si>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</si>
  <si>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</si>
  <si>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</si>
  <si>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</si>
  <si>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</si>
  <si>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</si>
  <si>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</si>
  <si>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</si>
  <si>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</si>
  <si>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</si>
  <si>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</si>
  <si>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</si>
  <si>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</si>
  <si>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</si>
  <si>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</si>
  <si>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</si>
  <si>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</si>
  <si>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</si>
  <si>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</si>
  <si>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</si>
  <si>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</si>
  <si>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</si>
  <si>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</si>
  <si>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</si>
  <si>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</si>
  <si>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</si>
  <si>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</si>
  <si>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</si>
  <si>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</si>
  <si>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</si>
  <si>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</si>
  <si>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</si>
  <si>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</si>
  <si>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</si>
  <si>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</si>
  <si>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</si>
  <si>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</si>
  <si>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</si>
  <si>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</si>
  <si>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</si>
  <si>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</si>
  <si>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</si>
  <si>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</si>
  <si>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</si>
  <si>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</si>
  <si>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</si>
  <si>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</si>
  <si>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</si>
  <si>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</si>
  <si>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</si>
  <si>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</si>
  <si>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</si>
  <si>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</si>
  <si>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</si>
  <si>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</si>
  <si>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</si>
  <si>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</si>
  <si>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</si>
  <si>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</si>
  <si>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</si>
  <si>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</si>
  <si>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</si>
  <si>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</si>
  <si>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</si>
  <si>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</si>
  <si>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</si>
  <si>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</si>
  <si>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</si>
  <si>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</si>
  <si>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</si>
  <si>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</si>
  <si>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COAL</t>
  </si>
  <si>
    <t>NATURAL GAS</t>
  </si>
  <si>
    <t>LIGHT FUEL OIL</t>
  </si>
  <si>
    <t>HEAVY FUEL OIL</t>
  </si>
  <si>
    <t xml:space="preserve">Check </t>
  </si>
  <si>
    <t>Total</t>
  </si>
  <si>
    <t>tCO2e/MWh</t>
  </si>
  <si>
    <t>Grid Emission Factor</t>
  </si>
  <si>
    <t>Effective Corporate Tax Rate</t>
  </si>
  <si>
    <t>Public Cost of Capital</t>
  </si>
  <si>
    <t>USER-DEFINED, MANUAL ENTRY</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</si>
  <si>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</si>
  <si>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</si>
  <si>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</si>
  <si>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</si>
  <si>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</si>
  <si>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</si>
  <si>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</si>
  <si>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</si>
  <si>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</si>
  <si>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</si>
  <si>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</si>
  <si>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</si>
  <si>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</si>
  <si>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</si>
  <si>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</si>
  <si>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</si>
  <si>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</si>
  <si>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</si>
  <si>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</si>
  <si>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</si>
  <si>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</si>
  <si>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</si>
  <si>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</si>
  <si>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</si>
  <si>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</si>
  <si>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</si>
  <si>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</si>
  <si>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</si>
  <si>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</si>
  <si>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</si>
  <si>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</si>
  <si>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</si>
  <si>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</si>
  <si>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</si>
  <si>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</si>
  <si>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</si>
  <si>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</si>
  <si>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</si>
  <si>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</si>
  <si>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</si>
  <si>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</si>
  <si>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</si>
  <si>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</si>
  <si>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</si>
  <si>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</si>
  <si>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</si>
  <si>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</si>
  <si>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</si>
  <si>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</si>
  <si>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</si>
  <si>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</si>
  <si>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</si>
  <si>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</si>
  <si>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</si>
  <si>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</si>
  <si>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</si>
  <si>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</si>
  <si>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</si>
  <si>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</si>
  <si>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</si>
  <si>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</si>
  <si>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</si>
  <si>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</si>
  <si>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</si>
  <si>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</si>
  <si>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</si>
  <si>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</si>
  <si>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</si>
  <si>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</si>
  <si>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</si>
  <si>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</si>
  <si>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</si>
  <si>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</si>
  <si>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</si>
  <si>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</si>
  <si>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</si>
  <si>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</si>
  <si>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</si>
  <si>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</si>
  <si>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</si>
  <si>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</si>
  <si>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</si>
  <si>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</si>
  <si>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</si>
  <si>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</si>
  <si>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</si>
  <si>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</si>
  <si>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</si>
  <si>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</si>
  <si>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</si>
  <si>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</si>
  <si>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</si>
  <si>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</si>
  <si>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</si>
  <si>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</si>
  <si>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</si>
  <si>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</si>
  <si>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</si>
  <si>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</si>
  <si>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</si>
  <si>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</si>
  <si>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</si>
  <si>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</si>
  <si>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</si>
  <si>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</si>
  <si>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</si>
  <si>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</si>
  <si>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</si>
  <si>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</si>
  <si>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</si>
  <si>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</si>
  <si>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</si>
  <si>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</si>
  <si>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</si>
  <si>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</si>
  <si>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</si>
  <si>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</si>
  <si>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</si>
  <si>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</si>
  <si>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</si>
  <si>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</si>
  <si>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</si>
  <si>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</si>
  <si>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</si>
  <si>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</si>
  <si>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</si>
  <si>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</si>
  <si>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</si>
  <si>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</si>
  <si>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</si>
  <si>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</si>
  <si>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</si>
  <si>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</si>
  <si>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</si>
  <si>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</si>
  <si>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</si>
  <si>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</si>
  <si>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</si>
  <si>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</si>
  <si>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</si>
  <si>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</si>
  <si>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</si>
  <si>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</si>
  <si>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</si>
  <si>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</si>
  <si>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</si>
  <si>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</si>
  <si>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</si>
  <si>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</si>
  <si>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</si>
  <si>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</si>
  <si>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</si>
  <si>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</si>
  <si>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</si>
  <si>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</si>
  <si>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</si>
  <si>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</si>
  <si>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</si>
  <si>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</si>
  <si>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</si>
  <si>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</si>
  <si>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</si>
  <si>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</si>
  <si>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</si>
  <si>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</si>
  <si>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</si>
  <si>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</si>
  <si>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</si>
  <si>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</si>
  <si>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</si>
  <si>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</si>
  <si>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</si>
  <si>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</si>
  <si>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</si>
  <si>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</si>
  <si>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</si>
  <si>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</si>
  <si>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</si>
  <si>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</si>
  <si>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</si>
  <si>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</si>
  <si>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</si>
  <si>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</si>
  <si>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</si>
  <si>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</si>
  <si>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</si>
  <si>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</si>
  <si>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</si>
  <si>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</si>
  <si>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</si>
  <si>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</si>
  <si>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</si>
  <si>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</si>
  <si>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</si>
  <si>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</si>
  <si>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</si>
  <si>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</si>
  <si>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</si>
  <si>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</si>
  <si>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</si>
  <si>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</si>
  <si>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</si>
  <si>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</si>
  <si>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</si>
  <si>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</si>
  <si>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</si>
  <si>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</si>
  <si>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</si>
  <si>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</si>
  <si>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</si>
  <si>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</si>
  <si>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</si>
  <si>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</si>
  <si>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</si>
  <si>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</si>
  <si>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</si>
  <si>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</si>
  <si>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</si>
  <si>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</si>
  <si>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</si>
  <si>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</si>
  <si>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</si>
  <si>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</si>
  <si>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</si>
  <si>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</si>
  <si>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</si>
  <si>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</si>
  <si>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</si>
  <si>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</si>
  <si>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</si>
  <si>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</si>
  <si>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</si>
  <si>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</si>
  <si>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</si>
  <si>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</si>
  <si>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</si>
  <si>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</si>
  <si>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</si>
  <si>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Loans, as a % of Total Value</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</si>
  <si>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</si>
  <si>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</si>
  <si>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</si>
  <si>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</si>
  <si>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</si>
  <si>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</si>
  <si>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</si>
  <si>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</si>
  <si>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</si>
  <si>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</si>
  <si>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</si>
  <si>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</si>
  <si>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</si>
  <si>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</si>
  <si>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</si>
  <si>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</si>
  <si>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</si>
  <si>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</si>
  <si>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Currency/Macro Risk</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</si>
  <si>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</si>
  <si>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</si>
  <si>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</si>
  <si>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</si>
  <si>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</si>
  <si>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</si>
  <si>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</si>
  <si>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</si>
  <si>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</si>
  <si>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Resource assessment; Technology and O&amp;M assistance</t>
  </si>
  <si>
    <t>Grid code; grid management studies</t>
  </si>
  <si>
    <t>Financial sector reform; strengthening investors' familiarity and assessment capacity for renewable energy</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</si>
  <si>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</si>
  <si>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</si>
  <si>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</si>
  <si>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</si>
  <si>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</si>
  <si>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</si>
  <si>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</si>
  <si>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</si>
  <si>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</si>
  <si>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</si>
  <si>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</si>
  <si>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</si>
  <si>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</si>
  <si>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</si>
  <si>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</si>
  <si>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</si>
  <si>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</si>
  <si>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</si>
  <si>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</si>
  <si>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</si>
  <si>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</si>
  <si>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</si>
  <si>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</si>
  <si>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</si>
  <si>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</si>
  <si>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</si>
  <si>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</si>
  <si>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</si>
  <si>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</si>
  <si>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</si>
  <si>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</si>
  <si>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</si>
  <si>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</si>
  <si>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</si>
  <si>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</si>
  <si>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</si>
  <si>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</si>
  <si>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</si>
  <si>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</si>
  <si>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</si>
  <si>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</si>
  <si>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</si>
  <si>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</si>
  <si>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</si>
  <si>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</si>
  <si>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</si>
  <si>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</si>
  <si>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</si>
  <si>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</si>
  <si>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</si>
  <si>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</si>
  <si>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</si>
  <si>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</si>
  <si>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</si>
  <si>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</si>
  <si>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</si>
  <si>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</si>
  <si>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This financial tool is organised into the following nine sheets</t>
  </si>
  <si>
    <t>http://www.undp.org/DREI</t>
  </si>
  <si>
    <t>Baseline Energy Mix Technology</t>
  </si>
  <si>
    <t>Please select method to calculate the post-derisking cost of financing</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</si>
  <si>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</si>
  <si>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</si>
  <si>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</si>
  <si>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</si>
  <si>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</si>
  <si>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</si>
  <si>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</si>
  <si>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</si>
  <si>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</si>
  <si>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VII. </t>
  </si>
  <si>
    <t>VII. SENSITIVITY OUTPUTS</t>
  </si>
  <si>
    <t>Investment Cost</t>
  </si>
  <si>
    <t xml:space="preserve">Base Case Scenario </t>
  </si>
  <si>
    <t>ASSUMPTION SUBJECT TO SENSITIVITY</t>
  </si>
  <si>
    <t xml:space="preserve">A. </t>
  </si>
  <si>
    <t xml:space="preserve">B. </t>
  </si>
  <si>
    <t>Capacity Factor Sensitivity</t>
  </si>
  <si>
    <t xml:space="preserve">C. </t>
  </si>
  <si>
    <t>Fuel Costs Sensitivity</t>
  </si>
  <si>
    <t xml:space="preserve">D. </t>
  </si>
  <si>
    <t>Balancing Costs Sensitivity</t>
  </si>
  <si>
    <t xml:space="preserve">E.  </t>
  </si>
  <si>
    <t>Policy Derisking Only Sensitivity</t>
  </si>
  <si>
    <t xml:space="preserve">F. </t>
  </si>
  <si>
    <t>Financial Derisking Only Sensitivity</t>
  </si>
  <si>
    <t>G</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</si>
  <si>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</si>
  <si>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</si>
  <si>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</si>
  <si>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</si>
  <si>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</si>
  <si>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</si>
  <si>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</si>
  <si>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</si>
  <si>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</si>
  <si>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</si>
  <si>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 xml:space="preserve">H. </t>
  </si>
  <si>
    <t>Financing Costs Sensitivity</t>
  </si>
  <si>
    <t>This sheet is organised into 8 sections.</t>
  </si>
  <si>
    <t>C. CAPACITY FACTOR SENSITIVITY</t>
  </si>
  <si>
    <t>Capacity Factor</t>
  </si>
  <si>
    <t>Sensitivity Scenario</t>
  </si>
  <si>
    <t>D. FUEL COSTS SENSITIVITY</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</si>
  <si>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</si>
  <si>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</si>
  <si>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</si>
  <si>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</si>
  <si>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</si>
  <si>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</si>
  <si>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</si>
  <si>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</si>
  <si>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</si>
  <si>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</si>
  <si>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</si>
  <si>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WIND TARGET AND RESOURCES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</si>
  <si>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</si>
  <si>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</si>
  <si>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</si>
  <si>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</si>
  <si>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</si>
  <si>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</si>
  <si>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</si>
  <si>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</si>
  <si>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</si>
  <si>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</si>
  <si>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</si>
  <si>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</si>
  <si>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</si>
  <si>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</si>
  <si>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</si>
  <si>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</si>
  <si>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</si>
  <si>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</si>
  <si>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E. BALANCING COSTS SENSITIVITY</t>
  </si>
  <si>
    <t xml:space="preserve">Balancing Costs </t>
  </si>
  <si>
    <t>F. POLICY DERISKING ONLY SENSITIVITY</t>
  </si>
  <si>
    <t>Both</t>
  </si>
  <si>
    <t xml:space="preserve">Policy Derisking Costs </t>
  </si>
  <si>
    <t>G. FINANCIAL DERISKING ONLY SENSITIVITY</t>
  </si>
  <si>
    <t>Baseline Energy</t>
  </si>
  <si>
    <t>Balancing Costs</t>
  </si>
  <si>
    <t>Derisking</t>
  </si>
  <si>
    <t>H. FINANCING COSTS SENSITIVITY</t>
  </si>
  <si>
    <t xml:space="preserve">Financing Costs </t>
  </si>
  <si>
    <t>Financing Costs</t>
  </si>
  <si>
    <t>Exchange Rate (1 EUR: 1 USD)</t>
  </si>
  <si>
    <t>Sensitivity #1: 2022 Scenario</t>
  </si>
  <si>
    <t>SENSITIVITY OUTPUTS</t>
  </si>
  <si>
    <t>SENSITIVITY COMMENT</t>
  </si>
  <si>
    <t>SENSITIVITY OUTPUTS - SENSITIVITY #1</t>
  </si>
  <si>
    <t>SENSITIVITY OUTPUTS - SENSITIVITY #2</t>
  </si>
  <si>
    <t>Private Sector Equity</t>
  </si>
  <si>
    <t>Cost per Km of Individual Transmission Line</t>
  </si>
  <si>
    <t>#</t>
  </si>
  <si>
    <t>Number of Transmission Lines (Redundancy)</t>
  </si>
  <si>
    <t>Concessional public loan</t>
  </si>
  <si>
    <t xml:space="preserve">Concessional public loan </t>
  </si>
  <si>
    <t xml:space="preserve">Present Value of 20 year PPA Premium </t>
  </si>
  <si>
    <t>Natural Gas (Combined Cycle Technology) (%)</t>
  </si>
  <si>
    <t>2030 Target (in MW)</t>
  </si>
  <si>
    <t>Capacity Factor (%)</t>
  </si>
  <si>
    <t>LCOE, Renewable Energy - Grid Interconnection</t>
  </si>
  <si>
    <t>Investment in Renewable Energy Generation</t>
  </si>
  <si>
    <t>Investment in Renewable Energy Grid Interconnection</t>
  </si>
  <si>
    <t xml:space="preserve">Total Cost of Tranmission Lines to Meet Target Installed Capacity </t>
  </si>
  <si>
    <t xml:space="preserve">Total Cost of Sub-Stations to Meet Target Installed Capacity </t>
  </si>
  <si>
    <t>Total Grid Interconnection Costs</t>
  </si>
  <si>
    <t xml:space="preserve">Cost per Sub Station </t>
  </si>
  <si>
    <t>[Insert comments]</t>
  </si>
  <si>
    <t>USD/kWh</t>
  </si>
  <si>
    <t>USD/MW</t>
  </si>
  <si>
    <t>USD/year</t>
  </si>
  <si>
    <t>USD/tCO2e</t>
  </si>
  <si>
    <t>USD/MWh</t>
  </si>
  <si>
    <t>Total Investment (USD million)</t>
  </si>
  <si>
    <t>Debt (USD million)</t>
  </si>
  <si>
    <t>Equity (USD million)</t>
  </si>
  <si>
    <t>Policy Derisking Instruments (USD million, present value)</t>
  </si>
  <si>
    <t>Financial Derisking Instruments (USD million, present value)</t>
  </si>
  <si>
    <t>Direct Financial Incentives (USD million)</t>
  </si>
  <si>
    <t>$/Mwh</t>
  </si>
  <si>
    <t>$/MWh</t>
  </si>
  <si>
    <t>(in $)</t>
  </si>
  <si>
    <t>% Change in Total Abatement Costs per t/CO2e</t>
  </si>
  <si>
    <t>Abatement Costs due to Incremental Costs</t>
  </si>
  <si>
    <t>Abatement Costs due to Financial Derisking Costs</t>
  </si>
  <si>
    <t>Abatement Costs due to Policy Derisking Costs</t>
  </si>
  <si>
    <t>Total Carbon Abatement Costs per t/CO2e</t>
  </si>
  <si>
    <t>LCOE FINANCIAL TOOL (USD)</t>
  </si>
  <si>
    <r>
      <t xml:space="preserve"> - Case study input cells are formatted with a yellow background. </t>
    </r>
    <r>
      <rPr>
        <b/>
        <sz val="10"/>
        <rFont val="Arial"/>
        <family val="2"/>
      </rPr>
      <t xml:space="preserve"> </t>
    </r>
    <r>
      <rPr>
        <sz val="10"/>
        <rFont val="Arial"/>
        <family val="2"/>
      </rPr>
      <t>An example of the format is as follows:</t>
    </r>
  </si>
  <si>
    <t>MODEL VERSION 1.3 (OCTOBER 2014)</t>
  </si>
  <si>
    <t>Wind</t>
  </si>
  <si>
    <t>Diesel Fuel</t>
  </si>
  <si>
    <t>Case Study v2.0 Oct 2016</t>
  </si>
  <si>
    <t>MODEL VERSION 2.0 (OCTOBER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</si>
</sst>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2]\ #,##0_);\([$€-2]\ #,##0\)"/>
    <numFmt numFmtId="177" formatCode="0.000%"/>
    <numFmt numFmtId="178" formatCode="0.0"/>
    <numFmt numFmtId="179" formatCode="[$€-83C]#,##0.00;\-[$€-83C]#,##0.00"/>
    <numFmt numFmtId="180" formatCode="_([$€-2]\ * #,##0_);_([$€-2]\ * \(#,##0\);_([$€-2]\ * &quot;-&quot;??_);_(@_)"/>
    <numFmt numFmtId="181" formatCode="[$€-2]#,##0_);\([$€-2]#,##0\)"/>
    <numFmt numFmtId="182" formatCode="&quot;$&quot;#,##0.000"/>
    <numFmt numFmtId="183" formatCode="&quot;$&quot;#,##0.00000_);\(&quot;$&quot;#,##0.00000\)"/>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indexed="22"/>
      <name val="Arial"/>
      <family val="2"/>
    </font>
    <font>
      <b/>
      <sz val="10"/>
      <color rgb="FF3527E9"/>
      <name val="Arial"/>
      <family val="2"/>
    </font>
    <font>
      <b/>
      <i/>
      <sz val="10"/>
      <color rgb="FF3527E9"/>
      <name val="Arial"/>
      <family val="2"/>
    </font>
    <font>
      <b/>
      <sz val="10"/>
      <color rgb="FFFF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4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57">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2" fillId="0" borderId="0" xfId="0" applyFont="1" applyAlignment="1" applyProtection="1">
      <alignment vertical="center"/>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10" borderId="23" xfId="0" applyNumberFormat="1" applyFont="1" applyFill="1" applyBorder="1" applyAlignment="1" applyProtection="1">
      <alignment horizontal="center"/>
      <protection locked="0"/>
    </xf>
    <xf numFmtId="37" fontId="25" fillId="11" borderId="23" xfId="0" applyNumberFormat="1" applyFont="1" applyFill="1" applyBorder="1" applyAlignment="1" applyProtection="1">
      <alignment horizontal="center"/>
      <protection locked="0"/>
    </xf>
    <xf numFmtId="37" fontId="25" fillId="12" borderId="23" xfId="0" applyNumberFormat="1" applyFont="1" applyFill="1" applyBorder="1" applyAlignment="1" applyProtection="1">
      <alignment horizontal="center"/>
      <protection locked="0"/>
    </xf>
    <xf numFmtId="37" fontId="25" fillId="13"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2" borderId="23" xfId="1" applyNumberFormat="1" applyFont="1" applyFill="1" applyBorder="1" applyAlignment="1" applyProtection="1">
      <alignment horizontal="center"/>
      <protection locked="0"/>
    </xf>
    <xf numFmtId="164" fontId="25" fillId="10" borderId="23" xfId="1"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12" borderId="23" xfId="1" applyNumberFormat="1" applyFont="1" applyFill="1" applyBorder="1" applyAlignment="1" applyProtection="1">
      <alignment horizontal="center"/>
      <protection locked="0"/>
    </xf>
    <xf numFmtId="164" fontId="25" fillId="13"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2" borderId="23" xfId="2" applyNumberFormat="1" applyFont="1" applyFill="1" applyBorder="1" applyAlignment="1" applyProtection="1">
      <alignment horizontal="center"/>
      <protection locked="0"/>
    </xf>
    <xf numFmtId="37" fontId="25" fillId="10" borderId="23" xfId="2"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12" borderId="23" xfId="2" applyNumberFormat="1" applyFont="1" applyFill="1" applyBorder="1" applyAlignment="1" applyProtection="1">
      <alignment horizontal="center"/>
      <protection locked="0"/>
    </xf>
    <xf numFmtId="37" fontId="25" fillId="13"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1" fillId="0" borderId="0" xfId="0" applyFont="1" applyBorder="1" applyAlignment="1" applyProtection="1">
      <alignment horizontal="right"/>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9" fontId="18" fillId="14" borderId="3"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vertical="top"/>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178" fontId="11" fillId="0" borderId="0" xfId="0" applyNumberFormat="1" applyFont="1" applyFill="1" applyBorder="1" applyAlignment="1">
      <alignment horizontal="center"/>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9" fillId="0" borderId="0" xfId="0" applyFont="1" applyFill="1" applyBorder="1"/>
    <xf numFmtId="179" fontId="11" fillId="0" borderId="0" xfId="0" applyNumberFormat="1" applyFont="1" applyFill="1" applyBorder="1"/>
    <xf numFmtId="176" fontId="11" fillId="0" borderId="0" xfId="0" applyNumberFormat="1" applyFont="1" applyFill="1" applyBorder="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0" fontId="11" fillId="0" borderId="0" xfId="0" applyNumberFormat="1" applyFont="1" applyProtection="1"/>
    <xf numFmtId="164" fontId="11" fillId="23" borderId="23" xfId="0" applyNumberFormat="1" applyFont="1" applyFill="1" applyBorder="1" applyAlignment="1">
      <alignment horizontal="center"/>
    </xf>
    <xf numFmtId="181" fontId="11" fillId="6" borderId="0" xfId="2" applyNumberFormat="1" applyFont="1" applyFill="1" applyBorder="1"/>
    <xf numFmtId="181" fontId="11" fillId="6" borderId="18" xfId="2" applyNumberFormat="1" applyFont="1" applyFill="1" applyBorder="1"/>
    <xf numFmtId="181" fontId="11" fillId="6" borderId="0" xfId="0" applyNumberFormat="1" applyFont="1" applyFill="1" applyBorder="1"/>
    <xf numFmtId="181" fontId="11" fillId="6" borderId="18" xfId="0" applyNumberFormat="1" applyFont="1" applyFill="1" applyBorder="1"/>
    <xf numFmtId="181" fontId="11" fillId="7" borderId="0" xfId="2" applyNumberFormat="1" applyFont="1" applyFill="1" applyBorder="1"/>
    <xf numFmtId="181" fontId="11" fillId="7" borderId="18" xfId="2" applyNumberFormat="1" applyFont="1" applyFill="1" applyBorder="1"/>
    <xf numFmtId="181" fontId="11" fillId="7" borderId="0" xfId="0" applyNumberFormat="1" applyFont="1" applyFill="1" applyBorder="1"/>
    <xf numFmtId="181" fontId="11" fillId="7" borderId="18" xfId="0" applyNumberFormat="1" applyFont="1" applyFill="1" applyBorder="1"/>
    <xf numFmtId="181" fontId="11" fillId="8" borderId="0" xfId="2" applyNumberFormat="1" applyFont="1" applyFill="1" applyBorder="1"/>
    <xf numFmtId="181" fontId="11" fillId="8" borderId="18" xfId="2" applyNumberFormat="1" applyFont="1" applyFill="1" applyBorder="1"/>
    <xf numFmtId="181" fontId="11" fillId="9" borderId="0" xfId="2" applyNumberFormat="1" applyFont="1" applyFill="1" applyBorder="1"/>
    <xf numFmtId="181" fontId="11" fillId="9" borderId="18" xfId="2" applyNumberFormat="1" applyFont="1" applyFill="1" applyBorder="1"/>
    <xf numFmtId="181" fontId="11" fillId="5" borderId="0" xfId="0" applyNumberFormat="1" applyFont="1" applyFill="1" applyBorder="1"/>
    <xf numFmtId="181" fontId="11" fillId="5" borderId="0" xfId="2" applyNumberFormat="1" applyFont="1" applyFill="1" applyBorder="1"/>
    <xf numFmtId="181" fontId="11" fillId="5" borderId="18" xfId="2" applyNumberFormat="1" applyFont="1" applyFill="1" applyBorder="1"/>
    <xf numFmtId="181" fontId="11" fillId="5" borderId="18" xfId="0" applyNumberFormat="1" applyFont="1" applyFill="1" applyBorder="1"/>
    <xf numFmtId="181" fontId="11" fillId="0" borderId="0" xfId="0" applyNumberFormat="1" applyFont="1"/>
    <xf numFmtId="181" fontId="11" fillId="15" borderId="0" xfId="0" applyNumberFormat="1" applyFont="1" applyFill="1" applyBorder="1"/>
    <xf numFmtId="181" fontId="11" fillId="15" borderId="18" xfId="0" applyNumberFormat="1" applyFont="1" applyFill="1" applyBorder="1"/>
    <xf numFmtId="181" fontId="11" fillId="15" borderId="1" xfId="0" applyNumberFormat="1" applyFont="1" applyFill="1" applyBorder="1"/>
    <xf numFmtId="181" fontId="11" fillId="14" borderId="0" xfId="0" applyNumberFormat="1" applyFont="1" applyFill="1" applyBorder="1"/>
    <xf numFmtId="181" fontId="11" fillId="14" borderId="1" xfId="0" applyNumberFormat="1" applyFont="1" applyFill="1" applyBorder="1"/>
    <xf numFmtId="181" fontId="11" fillId="17" borderId="0" xfId="0" applyNumberFormat="1" applyFont="1" applyFill="1" applyBorder="1"/>
    <xf numFmtId="181" fontId="11" fillId="17" borderId="18" xfId="0" applyNumberFormat="1" applyFont="1" applyFill="1" applyBorder="1"/>
    <xf numFmtId="181" fontId="11" fillId="15" borderId="0" xfId="0" applyNumberFormat="1" applyFont="1" applyFill="1" applyBorder="1" applyAlignment="1">
      <alignment horizontal="center"/>
    </xf>
    <xf numFmtId="181" fontId="11" fillId="15" borderId="0" xfId="0" applyNumberFormat="1" applyFont="1" applyFill="1" applyBorder="1" applyAlignment="1"/>
    <xf numFmtId="181" fontId="12" fillId="15" borderId="0" xfId="0" applyNumberFormat="1" applyFont="1" applyFill="1" applyBorder="1" applyAlignment="1">
      <alignment horizontal="center"/>
    </xf>
    <xf numFmtId="181" fontId="11" fillId="15" borderId="1" xfId="0" applyNumberFormat="1" applyFont="1" applyFill="1" applyBorder="1" applyAlignment="1">
      <alignment horizontal="center"/>
    </xf>
    <xf numFmtId="181" fontId="11" fillId="15" borderId="1" xfId="0" applyNumberFormat="1" applyFont="1" applyFill="1" applyBorder="1" applyAlignment="1"/>
    <xf numFmtId="181" fontId="11" fillId="14" borderId="0" xfId="0" applyNumberFormat="1" applyFont="1" applyFill="1" applyBorder="1" applyAlignment="1">
      <alignment horizontal="center"/>
    </xf>
    <xf numFmtId="181" fontId="11" fillId="14" borderId="0" xfId="0" applyNumberFormat="1" applyFont="1" applyFill="1" applyBorder="1" applyAlignment="1"/>
    <xf numFmtId="181" fontId="11" fillId="14" borderId="1" xfId="0" applyNumberFormat="1" applyFont="1" applyFill="1" applyBorder="1" applyAlignment="1">
      <alignment horizontal="center"/>
    </xf>
    <xf numFmtId="181" fontId="11" fillId="14" borderId="1" xfId="0" applyNumberFormat="1" applyFont="1" applyFill="1" applyBorder="1" applyAlignment="1"/>
    <xf numFmtId="181" fontId="12" fillId="14" borderId="0" xfId="0" applyNumberFormat="1" applyFont="1" applyFill="1" applyBorder="1" applyAlignment="1">
      <alignment horizontal="center"/>
    </xf>
    <xf numFmtId="181" fontId="11" fillId="0" borderId="23" xfId="3" applyNumberFormat="1" applyFont="1" applyBorder="1" applyProtection="1"/>
    <xf numFmtId="181" fontId="11" fillId="0" borderId="24" xfId="3" applyNumberFormat="1" applyFont="1" applyBorder="1" applyProtection="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0"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xf numFmtId="0" fontId="41" fillId="18" borderId="24" xfId="0" applyFont="1" applyFill="1" applyBorder="1"/>
    <xf numFmtId="0" fontId="11" fillId="0" borderId="0" xfId="0" applyFont="1" applyFill="1" applyBorder="1" applyAlignment="1">
      <alignment horizontal="center" vertical="center"/>
    </xf>
    <xf numFmtId="10" fontId="11" fillId="0" borderId="0" xfId="0" applyNumberFormat="1" applyFont="1" applyProtection="1"/>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2" fillId="0" borderId="0" xfId="0" applyFont="1" applyFill="1" applyBorder="1" applyAlignment="1">
      <alignment horizontal="center" vertical="center"/>
    </xf>
    <xf numFmtId="5" fontId="11" fillId="15" borderId="12" xfId="0" applyNumberFormat="1"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5" fontId="11" fillId="15" borderId="27" xfId="0" applyNumberFormat="1" applyFont="1" applyFill="1" applyBorder="1" applyAlignment="1">
      <alignment horizontal="center" vertical="center"/>
    </xf>
    <xf numFmtId="172" fontId="12" fillId="2" borderId="23" xfId="0" applyNumberFormat="1" applyFont="1" applyFill="1" applyBorder="1" applyAlignment="1">
      <alignment horizontal="center"/>
    </xf>
    <xf numFmtId="172" fontId="12" fillId="10" borderId="23" xfId="0" applyNumberFormat="1" applyFont="1" applyFill="1" applyBorder="1" applyAlignment="1">
      <alignment horizontal="center"/>
    </xf>
    <xf numFmtId="172" fontId="12" fillId="11" borderId="23" xfId="0" applyNumberFormat="1" applyFont="1" applyFill="1" applyBorder="1" applyAlignment="1">
      <alignment horizontal="center"/>
    </xf>
    <xf numFmtId="172" fontId="12" fillId="12" borderId="23" xfId="0" applyNumberFormat="1" applyFont="1" applyFill="1" applyBorder="1" applyAlignment="1">
      <alignment horizontal="center"/>
    </xf>
    <xf numFmtId="172" fontId="12" fillId="13" borderId="23" xfId="0" applyNumberFormat="1" applyFont="1" applyFill="1" applyBorder="1" applyAlignment="1">
      <alignment horizontal="center"/>
    </xf>
    <xf numFmtId="172" fontId="12" fillId="23" borderId="23" xfId="0" applyNumberFormat="1" applyFont="1" applyFill="1" applyBorder="1" applyAlignment="1">
      <alignment horizontal="center"/>
    </xf>
    <xf numFmtId="172" fontId="12" fillId="3" borderId="23" xfId="3" applyNumberFormat="1" applyFont="1" applyFill="1" applyBorder="1" applyAlignment="1">
      <alignment horizont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5" fontId="25" fillId="2" borderId="23" xfId="0" applyNumberFormat="1" applyFont="1" applyFill="1" applyBorder="1" applyAlignment="1" applyProtection="1">
      <alignment horizontal="center"/>
      <protection locked="0"/>
    </xf>
    <xf numFmtId="5" fontId="25" fillId="10" borderId="23" xfId="0" applyNumberFormat="1" applyFont="1" applyFill="1" applyBorder="1" applyAlignment="1" applyProtection="1">
      <alignment horizontal="center"/>
      <protection locked="0"/>
    </xf>
    <xf numFmtId="5" fontId="25" fillId="11" borderId="23" xfId="0" applyNumberFormat="1" applyFont="1" applyFill="1" applyBorder="1" applyAlignment="1" applyProtection="1">
      <alignment horizontal="center"/>
      <protection locked="0"/>
    </xf>
    <xf numFmtId="5" fontId="25" fillId="12" borderId="23" xfId="0" applyNumberFormat="1" applyFont="1" applyFill="1" applyBorder="1" applyAlignment="1" applyProtection="1">
      <alignment horizontal="center"/>
      <protection locked="0"/>
    </xf>
    <xf numFmtId="5" fontId="25" fillId="13" borderId="23" xfId="0" applyNumberFormat="1" applyFont="1" applyFill="1" applyBorder="1" applyAlignment="1" applyProtection="1">
      <alignment horizontal="center"/>
      <protection locked="0"/>
    </xf>
    <xf numFmtId="5" fontId="25" fillId="5" borderId="23" xfId="0" applyNumberFormat="1" applyFont="1" applyFill="1" applyBorder="1" applyAlignment="1" applyProtection="1">
      <alignment horizontal="center"/>
      <protection locked="0"/>
    </xf>
    <xf numFmtId="7" fontId="18" fillId="2" borderId="23" xfId="0" applyNumberFormat="1" applyFont="1" applyFill="1" applyBorder="1" applyAlignment="1" applyProtection="1">
      <alignment horizontal="center"/>
      <protection locked="0"/>
    </xf>
    <xf numFmtId="7" fontId="18" fillId="10" borderId="23" xfId="0" applyNumberFormat="1" applyFont="1" applyFill="1" applyBorder="1" applyAlignment="1" applyProtection="1">
      <alignment horizontal="center"/>
      <protection locked="0"/>
    </xf>
    <xf numFmtId="7" fontId="18" fillId="11" borderId="23" xfId="0" applyNumberFormat="1" applyFont="1" applyFill="1" applyBorder="1" applyAlignment="1" applyProtection="1">
      <alignment horizontal="center"/>
      <protection locked="0"/>
    </xf>
    <xf numFmtId="7" fontId="18" fillId="12" borderId="23" xfId="0" applyNumberFormat="1" applyFont="1" applyFill="1" applyBorder="1" applyAlignment="1" applyProtection="1">
      <alignment horizontal="center"/>
      <protection locked="0"/>
    </xf>
    <xf numFmtId="7" fontId="18" fillId="13" borderId="23" xfId="0" applyNumberFormat="1" applyFont="1" applyFill="1" applyBorder="1" applyAlignment="1" applyProtection="1">
      <alignment horizontal="center"/>
      <protection locked="0"/>
    </xf>
    <xf numFmtId="7" fontId="18" fillId="5" borderId="23" xfId="0" applyNumberFormat="1" applyFont="1" applyFill="1" applyBorder="1" applyAlignment="1" applyProtection="1">
      <alignment horizontal="center"/>
      <protection locked="0"/>
    </xf>
    <xf numFmtId="7" fontId="18" fillId="10" borderId="23" xfId="2" applyNumberFormat="1" applyFont="1" applyFill="1" applyBorder="1" applyAlignment="1" applyProtection="1">
      <alignment horizontal="center" vertical="center"/>
      <protection locked="0"/>
    </xf>
    <xf numFmtId="7" fontId="18" fillId="11" borderId="23" xfId="2" applyNumberFormat="1" applyFont="1" applyFill="1" applyBorder="1" applyAlignment="1" applyProtection="1">
      <alignment horizontal="center" vertical="center"/>
      <protection locked="0"/>
    </xf>
    <xf numFmtId="7" fontId="18" fillId="12" borderId="23" xfId="2" applyNumberFormat="1" applyFont="1" applyFill="1" applyBorder="1" applyAlignment="1" applyProtection="1">
      <alignment horizontal="center" vertical="center"/>
      <protection locked="0"/>
    </xf>
    <xf numFmtId="7" fontId="18" fillId="13" borderId="23" xfId="2" applyNumberFormat="1" applyFont="1" applyFill="1" applyBorder="1" applyAlignment="1" applyProtection="1">
      <alignment horizontal="center" vertical="center"/>
      <protection locked="0"/>
    </xf>
    <xf numFmtId="7" fontId="18" fillId="5" borderId="23" xfId="2" applyNumberFormat="1" applyFont="1" applyFill="1" applyBorder="1" applyAlignment="1" applyProtection="1">
      <alignment horizontal="center" vertical="center"/>
      <protection locked="0"/>
    </xf>
    <xf numFmtId="5" fontId="18" fillId="15" borderId="4" xfId="0" applyNumberFormat="1" applyFont="1" applyFill="1" applyBorder="1" applyAlignment="1" applyProtection="1">
      <alignment vertical="center"/>
      <protection locked="0"/>
    </xf>
    <xf numFmtId="5" fontId="11" fillId="15" borderId="5" xfId="0" applyNumberFormat="1" applyFont="1" applyFill="1" applyBorder="1" applyAlignment="1" applyProtection="1">
      <alignment vertical="center"/>
    </xf>
    <xf numFmtId="5" fontId="18" fillId="14" borderId="4" xfId="0" applyNumberFormat="1" applyFont="1" applyFill="1" applyBorder="1" applyAlignment="1" applyProtection="1">
      <alignment vertical="center"/>
      <protection locked="0"/>
    </xf>
    <xf numFmtId="5" fontId="26" fillId="15" borderId="5" xfId="0" applyNumberFormat="1" applyFont="1" applyFill="1" applyBorder="1" applyAlignment="1" applyProtection="1">
      <alignment vertical="center"/>
    </xf>
    <xf numFmtId="5" fontId="26" fillId="14" borderId="4" xfId="0" applyNumberFormat="1" applyFont="1" applyFill="1" applyBorder="1" applyAlignment="1" applyProtection="1">
      <alignment vertical="center"/>
    </xf>
    <xf numFmtId="5" fontId="11" fillId="14" borderId="5" xfId="0" applyNumberFormat="1" applyFont="1" applyFill="1" applyBorder="1" applyAlignment="1" applyProtection="1">
      <alignment vertical="center"/>
    </xf>
    <xf numFmtId="5" fontId="26" fillId="14" borderId="5" xfId="0" applyNumberFormat="1" applyFont="1" applyFill="1" applyBorder="1" applyAlignment="1" applyProtection="1">
      <alignment vertical="center"/>
    </xf>
    <xf numFmtId="5" fontId="11" fillId="2" borderId="18" xfId="0" applyNumberFormat="1" applyFont="1" applyFill="1" applyBorder="1"/>
    <xf numFmtId="5" fontId="11" fillId="2" borderId="29" xfId="0" applyNumberFormat="1" applyFont="1" applyFill="1" applyBorder="1"/>
    <xf numFmtId="7" fontId="11" fillId="2" borderId="0" xfId="0" applyNumberFormat="1" applyFont="1" applyFill="1" applyBorder="1" applyAlignment="1">
      <alignment horizontal="right"/>
    </xf>
    <xf numFmtId="7" fontId="12" fillId="2" borderId="10" xfId="0" applyNumberFormat="1" applyFont="1" applyFill="1" applyBorder="1" applyAlignment="1">
      <alignment horizontal="right"/>
    </xf>
    <xf numFmtId="7" fontId="11" fillId="6" borderId="0" xfId="2" applyNumberFormat="1" applyFont="1" applyFill="1" applyBorder="1"/>
    <xf numFmtId="7" fontId="11" fillId="6" borderId="18" xfId="2" applyNumberFormat="1" applyFont="1" applyFill="1" applyBorder="1"/>
    <xf numFmtId="5" fontId="11" fillId="6" borderId="0" xfId="2" applyNumberFormat="1" applyFont="1" applyFill="1" applyBorder="1"/>
    <xf numFmtId="5" fontId="11" fillId="6" borderId="18" xfId="2" applyNumberFormat="1" applyFont="1" applyFill="1" applyBorder="1"/>
    <xf numFmtId="5" fontId="11" fillId="6" borderId="18" xfId="0" applyNumberFormat="1" applyFont="1" applyFill="1" applyBorder="1"/>
    <xf numFmtId="5" fontId="11" fillId="6" borderId="1" xfId="0" applyNumberFormat="1" applyFont="1" applyFill="1" applyBorder="1"/>
    <xf numFmtId="5" fontId="11" fillId="6" borderId="29" xfId="0" applyNumberFormat="1" applyFont="1" applyFill="1" applyBorder="1"/>
    <xf numFmtId="7" fontId="11" fillId="6" borderId="0" xfId="0" applyNumberFormat="1" applyFont="1" applyFill="1" applyBorder="1" applyAlignment="1">
      <alignment horizontal="right"/>
    </xf>
    <xf numFmtId="7" fontId="12" fillId="6" borderId="10" xfId="0" applyNumberFormat="1" applyFont="1" applyFill="1" applyBorder="1" applyAlignment="1">
      <alignment horizontal="right"/>
    </xf>
    <xf numFmtId="7" fontId="11" fillId="7" borderId="0" xfId="2" applyNumberFormat="1" applyFont="1" applyFill="1" applyBorder="1"/>
    <xf numFmtId="7" fontId="11" fillId="7" borderId="18" xfId="2" applyNumberFormat="1" applyFont="1" applyFill="1" applyBorder="1"/>
    <xf numFmtId="5" fontId="11" fillId="7" borderId="0" xfId="2" applyNumberFormat="1" applyFont="1" applyFill="1" applyBorder="1"/>
    <xf numFmtId="5" fontId="11" fillId="7" borderId="18" xfId="2" applyNumberFormat="1" applyFont="1" applyFill="1" applyBorder="1"/>
    <xf numFmtId="5" fontId="11" fillId="7" borderId="18" xfId="0" applyNumberFormat="1" applyFont="1" applyFill="1" applyBorder="1"/>
    <xf numFmtId="5" fontId="11" fillId="7" borderId="1" xfId="0" applyNumberFormat="1" applyFont="1" applyFill="1" applyBorder="1"/>
    <xf numFmtId="5" fontId="11" fillId="7" borderId="29" xfId="0" applyNumberFormat="1" applyFont="1" applyFill="1" applyBorder="1"/>
    <xf numFmtId="5" fontId="11" fillId="7" borderId="0" xfId="0" applyNumberFormat="1" applyFont="1" applyFill="1" applyBorder="1" applyAlignment="1">
      <alignment horizontal="right"/>
    </xf>
    <xf numFmtId="7" fontId="11" fillId="7" borderId="0" xfId="0" applyNumberFormat="1" applyFont="1" applyFill="1" applyBorder="1" applyAlignment="1">
      <alignment horizontal="right"/>
    </xf>
    <xf numFmtId="7" fontId="12" fillId="7" borderId="10" xfId="0" applyNumberFormat="1" applyFont="1" applyFill="1" applyBorder="1" applyAlignment="1">
      <alignment horizontal="right"/>
    </xf>
    <xf numFmtId="7" fontId="11" fillId="8" borderId="0" xfId="2" applyNumberFormat="1" applyFont="1" applyFill="1" applyBorder="1"/>
    <xf numFmtId="7" fontId="11" fillId="8" borderId="18" xfId="2" applyNumberFormat="1" applyFont="1" applyFill="1" applyBorder="1"/>
    <xf numFmtId="5" fontId="11" fillId="8" borderId="0" xfId="2" applyNumberFormat="1" applyFont="1" applyFill="1" applyBorder="1"/>
    <xf numFmtId="5" fontId="11" fillId="8" borderId="18" xfId="2" applyNumberFormat="1" applyFont="1" applyFill="1" applyBorder="1"/>
    <xf numFmtId="5" fontId="11" fillId="8" borderId="18" xfId="0" applyNumberFormat="1" applyFont="1" applyFill="1" applyBorder="1"/>
    <xf numFmtId="5" fontId="11" fillId="8" borderId="1" xfId="0" applyNumberFormat="1" applyFont="1" applyFill="1" applyBorder="1"/>
    <xf numFmtId="5" fontId="11" fillId="8" borderId="29" xfId="0" applyNumberFormat="1" applyFont="1" applyFill="1" applyBorder="1"/>
    <xf numFmtId="5" fontId="11" fillId="8" borderId="0" xfId="0" applyNumberFormat="1" applyFont="1" applyFill="1" applyBorder="1" applyAlignment="1">
      <alignment horizontal="right"/>
    </xf>
    <xf numFmtId="7" fontId="11" fillId="8" borderId="0" xfId="0" applyNumberFormat="1" applyFont="1" applyFill="1" applyBorder="1" applyAlignment="1">
      <alignment horizontal="right"/>
    </xf>
    <xf numFmtId="7" fontId="12" fillId="8" borderId="10" xfId="0" applyNumberFormat="1" applyFont="1" applyFill="1" applyBorder="1" applyAlignment="1">
      <alignment horizontal="right"/>
    </xf>
    <xf numFmtId="7" fontId="11" fillId="9" borderId="0" xfId="2" applyNumberFormat="1" applyFont="1" applyFill="1" applyBorder="1"/>
    <xf numFmtId="7" fontId="11" fillId="9" borderId="18" xfId="2" applyNumberFormat="1" applyFont="1" applyFill="1" applyBorder="1"/>
    <xf numFmtId="5" fontId="11" fillId="9" borderId="0" xfId="2" applyNumberFormat="1" applyFont="1" applyFill="1" applyBorder="1"/>
    <xf numFmtId="5" fontId="11" fillId="9" borderId="18" xfId="2" applyNumberFormat="1" applyFont="1" applyFill="1" applyBorder="1"/>
    <xf numFmtId="5" fontId="11" fillId="9" borderId="18" xfId="0" applyNumberFormat="1" applyFont="1" applyFill="1" applyBorder="1"/>
    <xf numFmtId="5" fontId="11" fillId="9" borderId="1" xfId="0" applyNumberFormat="1" applyFont="1" applyFill="1" applyBorder="1"/>
    <xf numFmtId="5" fontId="11" fillId="9" borderId="29" xfId="0" applyNumberFormat="1" applyFont="1" applyFill="1" applyBorder="1"/>
    <xf numFmtId="5" fontId="11" fillId="9" borderId="0" xfId="0" applyNumberFormat="1" applyFont="1" applyFill="1" applyBorder="1" applyAlignment="1">
      <alignment horizontal="right"/>
    </xf>
    <xf numFmtId="7" fontId="11" fillId="9" borderId="0" xfId="0" applyNumberFormat="1" applyFont="1" applyFill="1" applyBorder="1" applyAlignment="1">
      <alignment horizontal="right"/>
    </xf>
    <xf numFmtId="7" fontId="12" fillId="9" borderId="10" xfId="0" applyNumberFormat="1" applyFont="1" applyFill="1" applyBorder="1" applyAlignment="1">
      <alignment horizontal="right"/>
    </xf>
    <xf numFmtId="7" fontId="11" fillId="5" borderId="0" xfId="2" applyNumberFormat="1" applyFont="1" applyFill="1" applyBorder="1"/>
    <xf numFmtId="7" fontId="11" fillId="5" borderId="18" xfId="2" applyNumberFormat="1" applyFont="1" applyFill="1" applyBorder="1"/>
    <xf numFmtId="5" fontId="11" fillId="5" borderId="0" xfId="2" applyNumberFormat="1" applyFont="1" applyFill="1" applyBorder="1"/>
    <xf numFmtId="5" fontId="11" fillId="5" borderId="18" xfId="2" applyNumberFormat="1" applyFont="1" applyFill="1" applyBorder="1"/>
    <xf numFmtId="5" fontId="11" fillId="5" borderId="18" xfId="0" applyNumberFormat="1" applyFont="1" applyFill="1" applyBorder="1"/>
    <xf numFmtId="5" fontId="11" fillId="5" borderId="1" xfId="0" applyNumberFormat="1" applyFont="1" applyFill="1" applyBorder="1"/>
    <xf numFmtId="5" fontId="11" fillId="5" borderId="29" xfId="0" applyNumberFormat="1" applyFont="1" applyFill="1" applyBorder="1"/>
    <xf numFmtId="5" fontId="11" fillId="5" borderId="0" xfId="0" applyNumberFormat="1" applyFont="1" applyFill="1" applyBorder="1" applyAlignment="1">
      <alignment horizontal="right"/>
    </xf>
    <xf numFmtId="7" fontId="11" fillId="5" borderId="0" xfId="0" applyNumberFormat="1" applyFont="1" applyFill="1" applyBorder="1" applyAlignment="1">
      <alignment horizontal="right"/>
    </xf>
    <xf numFmtId="7" fontId="12" fillId="5" borderId="10" xfId="0" applyNumberFormat="1" applyFont="1" applyFill="1" applyBorder="1" applyAlignment="1">
      <alignment horizontal="right"/>
    </xf>
    <xf numFmtId="5" fontId="11" fillId="10" borderId="1" xfId="0" applyNumberFormat="1" applyFont="1" applyFill="1" applyBorder="1"/>
    <xf numFmtId="5" fontId="11" fillId="10" borderId="7" xfId="0" applyNumberFormat="1" applyFont="1" applyFill="1" applyBorder="1"/>
    <xf numFmtId="5" fontId="11" fillId="11" borderId="0" xfId="0" applyNumberFormat="1" applyFont="1" applyFill="1" applyBorder="1"/>
    <xf numFmtId="5" fontId="11" fillId="11" borderId="27" xfId="0" applyNumberFormat="1" applyFont="1" applyFill="1" applyBorder="1"/>
    <xf numFmtId="5" fontId="11" fillId="11" borderId="1" xfId="0" applyNumberFormat="1" applyFont="1" applyFill="1" applyBorder="1"/>
    <xf numFmtId="5" fontId="11" fillId="11" borderId="7" xfId="0" applyNumberFormat="1" applyFont="1" applyFill="1" applyBorder="1"/>
    <xf numFmtId="5" fontId="11" fillId="12" borderId="0" xfId="0" applyNumberFormat="1" applyFont="1" applyFill="1" applyBorder="1"/>
    <xf numFmtId="5" fontId="11" fillId="12" borderId="27" xfId="0" applyNumberFormat="1" applyFont="1" applyFill="1" applyBorder="1"/>
    <xf numFmtId="5" fontId="11" fillId="12" borderId="1" xfId="0" applyNumberFormat="1" applyFont="1" applyFill="1" applyBorder="1"/>
    <xf numFmtId="5" fontId="11" fillId="12" borderId="7" xfId="0" applyNumberFormat="1" applyFont="1" applyFill="1" applyBorder="1"/>
    <xf numFmtId="5" fontId="11" fillId="13" borderId="0" xfId="0" applyNumberFormat="1" applyFont="1" applyFill="1" applyBorder="1"/>
    <xf numFmtId="5" fontId="11" fillId="13" borderId="27" xfId="0" applyNumberFormat="1" applyFont="1" applyFill="1" applyBorder="1"/>
    <xf numFmtId="5" fontId="11" fillId="13" borderId="1" xfId="0" applyNumberFormat="1" applyFont="1" applyFill="1" applyBorder="1"/>
    <xf numFmtId="5" fontId="11" fillId="13" borderId="7" xfId="0" applyNumberFormat="1" applyFont="1" applyFill="1" applyBorder="1"/>
    <xf numFmtId="5" fontId="11" fillId="5" borderId="27" xfId="0" applyNumberFormat="1" applyFont="1" applyFill="1" applyBorder="1"/>
    <xf numFmtId="5" fontId="11" fillId="5" borderId="7" xfId="0" applyNumberFormat="1" applyFont="1" applyFill="1" applyBorder="1"/>
    <xf numFmtId="5" fontId="11" fillId="15" borderId="0" xfId="0" applyNumberFormat="1" applyFont="1" applyFill="1" applyBorder="1"/>
    <xf numFmtId="5" fontId="11" fillId="15" borderId="0" xfId="2" applyNumberFormat="1" applyFont="1" applyFill="1" applyBorder="1"/>
    <xf numFmtId="5" fontId="11" fillId="15" borderId="18" xfId="2" applyNumberFormat="1" applyFont="1" applyFill="1" applyBorder="1"/>
    <xf numFmtId="5" fontId="11" fillId="15" borderId="18" xfId="0" applyNumberFormat="1" applyFont="1" applyFill="1" applyBorder="1"/>
    <xf numFmtId="5" fontId="11" fillId="15" borderId="1" xfId="0" applyNumberFormat="1" applyFont="1" applyFill="1" applyBorder="1"/>
    <xf numFmtId="5" fontId="11" fillId="15" borderId="29" xfId="0" applyNumberFormat="1" applyFont="1" applyFill="1" applyBorder="1"/>
    <xf numFmtId="7" fontId="11" fillId="15" borderId="0" xfId="0" applyNumberFormat="1" applyFont="1" applyFill="1" applyBorder="1"/>
    <xf numFmtId="7" fontId="12" fillId="15" borderId="10" xfId="0" applyNumberFormat="1" applyFont="1" applyFill="1" applyBorder="1"/>
    <xf numFmtId="7" fontId="11" fillId="15" borderId="0" xfId="0" applyNumberFormat="1" applyFont="1" applyFill="1" applyBorder="1" applyAlignment="1"/>
    <xf numFmtId="5" fontId="11" fillId="15" borderId="0" xfId="0" applyNumberFormat="1" applyFont="1" applyFill="1" applyBorder="1" applyAlignment="1"/>
    <xf numFmtId="5" fontId="12" fillId="15" borderId="0" xfId="0" applyNumberFormat="1" applyFont="1" applyFill="1" applyBorder="1" applyAlignment="1"/>
    <xf numFmtId="5" fontId="11" fillId="15" borderId="1" xfId="0" applyNumberFormat="1" applyFont="1" applyFill="1" applyBorder="1" applyAlignment="1"/>
    <xf numFmtId="5" fontId="11" fillId="14" borderId="0" xfId="0" applyNumberFormat="1" applyFont="1" applyFill="1" applyBorder="1"/>
    <xf numFmtId="5" fontId="11" fillId="14" borderId="0" xfId="2" applyNumberFormat="1" applyFont="1" applyFill="1" applyBorder="1"/>
    <xf numFmtId="5" fontId="11" fillId="14" borderId="18" xfId="2" applyNumberFormat="1" applyFont="1" applyFill="1" applyBorder="1"/>
    <xf numFmtId="5" fontId="11" fillId="14" borderId="18" xfId="0" applyNumberFormat="1" applyFont="1" applyFill="1" applyBorder="1"/>
    <xf numFmtId="5" fontId="11" fillId="14" borderId="1" xfId="0" applyNumberFormat="1" applyFont="1" applyFill="1" applyBorder="1"/>
    <xf numFmtId="5" fontId="11" fillId="14" borderId="29" xfId="0" applyNumberFormat="1" applyFont="1" applyFill="1" applyBorder="1"/>
    <xf numFmtId="7" fontId="11" fillId="14" borderId="0" xfId="0" applyNumberFormat="1" applyFont="1" applyFill="1" applyBorder="1"/>
    <xf numFmtId="7" fontId="12" fillId="14" borderId="10" xfId="0" applyNumberFormat="1" applyFont="1" applyFill="1" applyBorder="1"/>
    <xf numFmtId="7" fontId="11" fillId="14" borderId="0" xfId="0" applyNumberFormat="1" applyFont="1" applyFill="1" applyBorder="1" applyAlignment="1"/>
    <xf numFmtId="7" fontId="11" fillId="14" borderId="1" xfId="0" applyNumberFormat="1" applyFont="1" applyFill="1" applyBorder="1" applyAlignment="1"/>
    <xf numFmtId="5" fontId="11" fillId="14" borderId="0" xfId="0" applyNumberFormat="1" applyFont="1" applyFill="1" applyBorder="1" applyAlignment="1"/>
    <xf numFmtId="5" fontId="12" fillId="14" borderId="0" xfId="0" applyNumberFormat="1" applyFont="1" applyFill="1" applyBorder="1" applyAlignment="1"/>
    <xf numFmtId="5" fontId="11" fillId="14" borderId="1" xfId="0" applyNumberFormat="1" applyFont="1" applyFill="1" applyBorder="1" applyAlignment="1"/>
    <xf numFmtId="5" fontId="18" fillId="15" borderId="0" xfId="0" applyNumberFormat="1" applyFont="1" applyFill="1" applyBorder="1"/>
    <xf numFmtId="5" fontId="18" fillId="15" borderId="18" xfId="0" applyNumberFormat="1" applyFont="1" applyFill="1" applyBorder="1"/>
    <xf numFmtId="5" fontId="11" fillId="17" borderId="0" xfId="0" applyNumberFormat="1" applyFont="1" applyFill="1" applyBorder="1"/>
    <xf numFmtId="5" fontId="11" fillId="17" borderId="18" xfId="0" applyNumberFormat="1" applyFont="1" applyFill="1" applyBorder="1"/>
    <xf numFmtId="5" fontId="11" fillId="17" borderId="1" xfId="0" applyNumberFormat="1" applyFont="1" applyFill="1" applyBorder="1"/>
    <xf numFmtId="5" fontId="11" fillId="17" borderId="29" xfId="0" applyNumberFormat="1" applyFont="1" applyFill="1" applyBorder="1"/>
    <xf numFmtId="5" fontId="18" fillId="17" borderId="0" xfId="0" applyNumberFormat="1" applyFont="1" applyFill="1" applyBorder="1"/>
    <xf numFmtId="5" fontId="18" fillId="17" borderId="18" xfId="0" applyNumberFormat="1" applyFont="1" applyFill="1" applyBorder="1"/>
    <xf numFmtId="5" fontId="11" fillId="18" borderId="0" xfId="0" applyNumberFormat="1" applyFont="1" applyFill="1" applyBorder="1"/>
    <xf numFmtId="5" fontId="11" fillId="18" borderId="18" xfId="0" applyNumberFormat="1" applyFont="1" applyFill="1" applyBorder="1"/>
    <xf numFmtId="5" fontId="11" fillId="18" borderId="1" xfId="0" applyNumberFormat="1" applyFont="1" applyFill="1" applyBorder="1"/>
    <xf numFmtId="5" fontId="11" fillId="18" borderId="29" xfId="0" applyNumberFormat="1" applyFont="1" applyFill="1" applyBorder="1"/>
    <xf numFmtId="5" fontId="37" fillId="15" borderId="0" xfId="2" applyNumberFormat="1" applyFont="1" applyFill="1" applyBorder="1"/>
    <xf numFmtId="5" fontId="37" fillId="14" borderId="0" xfId="2" applyNumberFormat="1" applyFont="1" applyFill="1" applyBorder="1"/>
    <xf numFmtId="170" fontId="41" fillId="18" borderId="23" xfId="0" applyNumberFormat="1" applyFont="1" applyFill="1" applyBorder="1" applyAlignment="1">
      <alignment horizontal="center"/>
    </xf>
    <xf numFmtId="170" fontId="41" fillId="22" borderId="0" xfId="0" applyNumberFormat="1" applyFont="1" applyFill="1" applyBorder="1" applyAlignment="1">
      <alignment horizontal="center"/>
    </xf>
    <xf numFmtId="170" fontId="41" fillId="18" borderId="23" xfId="0" applyNumberFormat="1" applyFont="1" applyFill="1" applyBorder="1"/>
    <xf numFmtId="170" fontId="41" fillId="22" borderId="0" xfId="0" applyNumberFormat="1" applyFont="1" applyFill="1" applyBorder="1"/>
    <xf numFmtId="170" fontId="43" fillId="22" borderId="0" xfId="0" applyNumberFormat="1" applyFont="1" applyFill="1" applyBorder="1" applyAlignment="1">
      <alignment horizontal="center"/>
    </xf>
    <xf numFmtId="170" fontId="42" fillId="18" borderId="23" xfId="0" applyNumberFormat="1" applyFont="1" applyFill="1" applyBorder="1" applyAlignment="1">
      <alignment horizontal="center"/>
    </xf>
    <xf numFmtId="170" fontId="42" fillId="22" borderId="0" xfId="0" applyNumberFormat="1" applyFont="1" applyFill="1" applyBorder="1" applyAlignment="1">
      <alignment horizontal="center"/>
    </xf>
    <xf numFmtId="7" fontId="11" fillId="2" borderId="18" xfId="2" applyNumberFormat="1" applyFont="1" applyFill="1" applyBorder="1"/>
    <xf numFmtId="0" fontId="5" fillId="0" borderId="0" xfId="145" applyFont="1" applyAlignment="1">
      <alignment horizontal="right"/>
    </xf>
    <xf numFmtId="0" fontId="9" fillId="19" borderId="0" xfId="145" applyFont="1" applyFill="1" applyBorder="1" applyAlignment="1">
      <alignment horizontal="right"/>
    </xf>
    <xf numFmtId="0" fontId="11" fillId="0" borderId="0" xfId="0" applyFont="1" applyFill="1" applyBorder="1" applyAlignment="1">
      <alignment horizontal="center" vertic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4" fillId="0" borderId="0" xfId="0" applyFont="1"/>
    <xf numFmtId="0" fontId="45" fillId="0" borderId="0" xfId="143" applyFont="1" applyFill="1" applyBorder="1"/>
    <xf numFmtId="5" fontId="37" fillId="15" borderId="12" xfId="0" applyNumberFormat="1" applyFont="1" applyFill="1" applyBorder="1" applyAlignment="1">
      <alignment horizontal="center" vertical="center"/>
    </xf>
    <xf numFmtId="0" fontId="37" fillId="15"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0" fontId="37" fillId="14" borderId="27" xfId="0" applyFont="1" applyFill="1" applyBorder="1" applyAlignment="1">
      <alignment horizontal="center" vertical="center"/>
    </xf>
    <xf numFmtId="171" fontId="37" fillId="15" borderId="12" xfId="0" applyNumberFormat="1" applyFont="1" applyFill="1" applyBorder="1" applyAlignment="1">
      <alignment horizontal="center" vertical="center"/>
    </xf>
    <xf numFmtId="171" fontId="37" fillId="15" borderId="27" xfId="0" applyNumberFormat="1" applyFont="1" applyFill="1" applyBorder="1" applyAlignment="1">
      <alignment horizontal="center" vertic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10" fontId="37" fillId="15" borderId="12" xfId="0" applyNumberFormat="1" applyFont="1" applyFill="1" applyBorder="1" applyAlignment="1" applyProtection="1">
      <alignment horizontal="center"/>
      <protection locked="0"/>
    </xf>
    <xf numFmtId="10" fontId="37" fillId="15" borderId="13" xfId="0" applyNumberFormat="1" applyFont="1" applyFill="1" applyBorder="1" applyAlignment="1" applyProtection="1">
      <alignment horizontal="center"/>
      <protection locked="0"/>
    </xf>
    <xf numFmtId="10" fontId="37" fillId="15" borderId="27"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xf>
    <xf numFmtId="10" fontId="37" fillId="14" borderId="28" xfId="0" applyNumberFormat="1" applyFont="1" applyFill="1" applyBorder="1" applyAlignment="1" applyProtection="1">
      <alignment horizontal="center" vertical="center"/>
    </xf>
    <xf numFmtId="10" fontId="37" fillId="14" borderId="13" xfId="0" applyNumberFormat="1" applyFont="1" applyFill="1" applyBorder="1" applyAlignment="1" applyProtection="1">
      <alignment horizontal="center" vertical="center"/>
    </xf>
    <xf numFmtId="10" fontId="37" fillId="14" borderId="26" xfId="0" applyNumberFormat="1" applyFont="1" applyFill="1" applyBorder="1" applyAlignment="1" applyProtection="1">
      <alignment horizontal="center" vertical="center"/>
    </xf>
    <xf numFmtId="10" fontId="37" fillId="15" borderId="0" xfId="0" applyNumberFormat="1" applyFont="1" applyFill="1" applyBorder="1" applyAlignment="1" applyProtection="1">
      <alignment horizontal="center"/>
      <protection locked="0"/>
    </xf>
    <xf numFmtId="10" fontId="37" fillId="14" borderId="12" xfId="0" applyNumberFormat="1" applyFont="1" applyFill="1" applyBorder="1" applyAlignment="1" applyProtection="1">
      <alignment horizontal="center" vertical="center"/>
    </xf>
    <xf numFmtId="10" fontId="37" fillId="14" borderId="0" xfId="0" applyNumberFormat="1" applyFont="1" applyFill="1" applyBorder="1" applyAlignment="1" applyProtection="1">
      <alignment horizontal="center" vertical="center"/>
    </xf>
    <xf numFmtId="10" fontId="37" fillId="14" borderId="27" xfId="0" applyNumberFormat="1" applyFont="1" applyFill="1" applyBorder="1" applyAlignment="1" applyProtection="1">
      <alignment horizontal="center" vertical="center"/>
    </xf>
    <xf numFmtId="10" fontId="37" fillId="15" borderId="6" xfId="0" applyNumberFormat="1" applyFont="1" applyFill="1" applyBorder="1" applyAlignment="1" applyProtection="1">
      <alignment horizontal="center"/>
      <protection locked="0"/>
    </xf>
    <xf numFmtId="10" fontId="37" fillId="15" borderId="7" xfId="0" applyNumberFormat="1" applyFont="1" applyFill="1" applyBorder="1" applyAlignment="1" applyProtection="1">
      <alignment horizontal="center"/>
      <protection locked="0"/>
    </xf>
    <xf numFmtId="10" fontId="37" fillId="14" borderId="6" xfId="0" applyNumberFormat="1" applyFont="1" applyFill="1" applyBorder="1" applyAlignment="1" applyProtection="1">
      <alignment horizontal="center"/>
    </xf>
    <xf numFmtId="10" fontId="37" fillId="14" borderId="1" xfId="0" applyNumberFormat="1" applyFont="1" applyFill="1" applyBorder="1" applyAlignment="1" applyProtection="1">
      <alignment horizontal="center"/>
    </xf>
    <xf numFmtId="10" fontId="37" fillId="14" borderId="7" xfId="0" applyNumberFormat="1" applyFont="1" applyFill="1" applyBorder="1" applyAlignment="1" applyProtection="1">
      <alignment horizontal="center"/>
    </xf>
    <xf numFmtId="164" fontId="46" fillId="15" borderId="6" xfId="1" applyNumberFormat="1" applyFont="1" applyFill="1" applyBorder="1" applyAlignment="1" applyProtection="1">
      <alignment horizontal="center"/>
    </xf>
    <xf numFmtId="164" fontId="46" fillId="15" borderId="4" xfId="1" applyNumberFormat="1" applyFont="1" applyFill="1" applyBorder="1" applyAlignment="1" applyProtection="1">
      <alignment horizontal="center"/>
    </xf>
    <xf numFmtId="164" fontId="46" fillId="15" borderId="2" xfId="1" applyNumberFormat="1" applyFont="1" applyFill="1" applyBorder="1" applyAlignment="1" applyProtection="1">
      <alignment horizontal="center"/>
    </xf>
    <xf numFmtId="164" fontId="46" fillId="15" borderId="5" xfId="1" applyNumberFormat="1" applyFont="1" applyFill="1" applyBorder="1" applyAlignment="1" applyProtection="1">
      <alignment horizontal="center"/>
    </xf>
    <xf numFmtId="164" fontId="46" fillId="14" borderId="6" xfId="1" applyNumberFormat="1" applyFont="1" applyFill="1" applyBorder="1" applyAlignment="1" applyProtection="1">
      <alignment horizontal="center"/>
    </xf>
    <xf numFmtId="164" fontId="46" fillId="14" borderId="4" xfId="1" applyNumberFormat="1" applyFont="1" applyFill="1" applyBorder="1" applyAlignment="1" applyProtection="1">
      <alignment horizontal="center"/>
    </xf>
    <xf numFmtId="164" fontId="46" fillId="14" borderId="2" xfId="1" applyNumberFormat="1" applyFont="1" applyFill="1" applyBorder="1" applyAlignment="1" applyProtection="1">
      <alignment horizontal="center"/>
    </xf>
    <xf numFmtId="164" fontId="46" fillId="14" borderId="5" xfId="1" applyNumberFormat="1" applyFont="1" applyFill="1" applyBorder="1" applyAlignment="1" applyProtection="1">
      <alignment horizontal="center"/>
    </xf>
    <xf numFmtId="164" fontId="37" fillId="15" borderId="12" xfId="0" applyNumberFormat="1" applyFont="1" applyFill="1" applyBorder="1" applyAlignment="1" applyProtection="1">
      <alignment horizontal="center"/>
    </xf>
    <xf numFmtId="164" fontId="37" fillId="15" borderId="12" xfId="1" applyNumberFormat="1" applyFont="1" applyFill="1" applyBorder="1" applyAlignment="1" applyProtection="1">
      <alignment horizontal="center"/>
    </xf>
    <xf numFmtId="164" fontId="37" fillId="15" borderId="0" xfId="1" applyNumberFormat="1" applyFont="1" applyFill="1" applyBorder="1" applyAlignment="1" applyProtection="1">
      <alignment horizontal="center"/>
    </xf>
    <xf numFmtId="164" fontId="37" fillId="15" borderId="27" xfId="1" applyNumberFormat="1" applyFont="1" applyFill="1" applyBorder="1" applyAlignment="1" applyProtection="1">
      <alignment horizontal="center"/>
    </xf>
    <xf numFmtId="164" fontId="37" fillId="14" borderId="28" xfId="1" applyNumberFormat="1" applyFont="1" applyFill="1" applyBorder="1" applyAlignment="1" applyProtection="1">
      <alignment horizontal="center"/>
    </xf>
    <xf numFmtId="164" fontId="37" fillId="14" borderId="0" xfId="1" applyNumberFormat="1" applyFont="1" applyFill="1" applyBorder="1" applyAlignment="1" applyProtection="1">
      <alignment horizontal="center"/>
    </xf>
    <xf numFmtId="164" fontId="37" fillId="14" borderId="27" xfId="1" applyNumberFormat="1" applyFont="1" applyFill="1" applyBorder="1" applyAlignment="1" applyProtection="1">
      <alignment horizontal="center"/>
    </xf>
    <xf numFmtId="164" fontId="37" fillId="15" borderId="6" xfId="0" applyNumberFormat="1" applyFont="1" applyFill="1" applyBorder="1" applyAlignment="1" applyProtection="1">
      <alignment horizontal="center"/>
      <protection locked="0"/>
    </xf>
    <xf numFmtId="164" fontId="37" fillId="15" borderId="1" xfId="0" applyNumberFormat="1" applyFont="1" applyFill="1" applyBorder="1" applyAlignment="1" applyProtection="1">
      <alignment horizontal="center"/>
      <protection locked="0"/>
    </xf>
    <xf numFmtId="164" fontId="37" fillId="15" borderId="7" xfId="0" applyNumberFormat="1" applyFont="1" applyFill="1" applyBorder="1" applyAlignment="1" applyProtection="1">
      <alignment horizontal="center"/>
      <protection locked="0"/>
    </xf>
    <xf numFmtId="164" fontId="37" fillId="14" borderId="6" xfId="0" applyNumberFormat="1" applyFont="1" applyFill="1" applyBorder="1" applyAlignment="1" applyProtection="1">
      <alignment horizontal="center"/>
    </xf>
    <xf numFmtId="164" fontId="37" fillId="14" borderId="1" xfId="0" applyNumberFormat="1" applyFont="1" applyFill="1" applyBorder="1" applyAlignment="1" applyProtection="1">
      <alignment horizontal="center"/>
    </xf>
    <xf numFmtId="164" fontId="37" fillId="14" borderId="7" xfId="0" applyNumberFormat="1" applyFont="1" applyFill="1" applyBorder="1" applyAlignment="1" applyProtection="1">
      <alignment horizontal="center"/>
    </xf>
    <xf numFmtId="164" fontId="46" fillId="15" borderId="6" xfId="0" applyNumberFormat="1" applyFont="1" applyFill="1" applyBorder="1" applyAlignment="1" applyProtection="1">
      <alignment horizontal="center"/>
    </xf>
    <xf numFmtId="164" fontId="46" fillId="15" borderId="1" xfId="0" applyNumberFormat="1" applyFont="1" applyFill="1" applyBorder="1" applyAlignment="1" applyProtection="1">
      <alignment horizontal="center"/>
    </xf>
    <xf numFmtId="164" fontId="46" fillId="14" borderId="6" xfId="0" applyNumberFormat="1" applyFont="1" applyFill="1" applyBorder="1" applyAlignment="1" applyProtection="1">
      <alignment horizontal="center"/>
    </xf>
    <xf numFmtId="164" fontId="46" fillId="14" borderId="1" xfId="0" applyNumberFormat="1" applyFont="1" applyFill="1" applyBorder="1" applyAlignment="1" applyProtection="1">
      <alignment horizontal="center"/>
    </xf>
    <xf numFmtId="164" fontId="46" fillId="14" borderId="7" xfId="0" applyNumberFormat="1" applyFont="1" applyFill="1" applyBorder="1" applyAlignment="1" applyProtection="1">
      <alignment horizontal="center"/>
    </xf>
    <xf numFmtId="0" fontId="29" fillId="0" borderId="0" xfId="145" applyFont="1" applyFill="1" applyBorder="1" applyAlignment="1">
      <alignment horizontal="left"/>
    </xf>
    <xf numFmtId="168" fontId="25" fillId="2" borderId="23" xfId="0" applyNumberFormat="1" applyFont="1" applyFill="1" applyBorder="1" applyAlignment="1" applyProtection="1">
      <alignment horizontal="center"/>
      <protection locked="0"/>
    </xf>
    <xf numFmtId="168" fontId="25" fillId="10" borderId="23" xfId="0" applyNumberFormat="1" applyFont="1" applyFill="1" applyBorder="1" applyAlignment="1" applyProtection="1">
      <alignment horizontal="center"/>
      <protection locked="0"/>
    </xf>
    <xf numFmtId="168" fontId="25" fillId="11" borderId="23" xfId="0" applyNumberFormat="1" applyFont="1" applyFill="1" applyBorder="1" applyAlignment="1" applyProtection="1">
      <alignment horizontal="center"/>
      <protection locked="0"/>
    </xf>
    <xf numFmtId="168" fontId="25" fillId="12" borderId="23" xfId="0" applyNumberFormat="1" applyFont="1" applyFill="1" applyBorder="1" applyAlignment="1" applyProtection="1">
      <alignment horizontal="center"/>
      <protection locked="0"/>
    </xf>
    <xf numFmtId="168" fontId="25" fillId="13" borderId="23" xfId="0" applyNumberFormat="1" applyFont="1" applyFill="1" applyBorder="1" applyAlignment="1" applyProtection="1">
      <alignment horizontal="center"/>
      <protection locked="0"/>
    </xf>
    <xf numFmtId="168" fontId="25" fillId="5" borderId="23" xfId="0" applyNumberFormat="1" applyFont="1" applyFill="1" applyBorder="1" applyAlignment="1" applyProtection="1">
      <alignment horizontal="center"/>
      <protection locked="0"/>
    </xf>
    <xf numFmtId="37" fontId="31" fillId="0" borderId="0" xfId="145" applyNumberFormat="1" applyFont="1" applyFill="1" applyBorder="1" applyAlignment="1">
      <alignment horizontal="center"/>
    </xf>
    <xf numFmtId="164" fontId="18" fillId="16" borderId="23" xfId="1" applyNumberFormat="1" applyFont="1" applyFill="1" applyBorder="1" applyAlignment="1" applyProtection="1">
      <alignment horizontal="center" vertical="center"/>
      <protection locked="0"/>
    </xf>
    <xf numFmtId="0" fontId="18" fillId="16" borderId="24" xfId="3" applyNumberFormat="1" applyFont="1" applyFill="1" applyBorder="1" applyAlignment="1" applyProtection="1">
      <alignment horizontal="center"/>
      <protection locked="0"/>
    </xf>
    <xf numFmtId="172" fontId="48" fillId="12" borderId="24" xfId="0" applyNumberFormat="1" applyFont="1" applyFill="1" applyBorder="1" applyAlignment="1" applyProtection="1">
      <alignment horizontal="center"/>
      <protection locked="0"/>
    </xf>
    <xf numFmtId="165" fontId="19" fillId="0" borderId="0" xfId="0" applyNumberFormat="1" applyFont="1" applyAlignment="1" applyProtection="1"/>
    <xf numFmtId="5" fontId="18" fillId="16" borderId="4" xfId="0" applyNumberFormat="1" applyFont="1" applyFill="1" applyBorder="1" applyAlignment="1" applyProtection="1">
      <alignment vertical="center"/>
      <protection locked="0"/>
    </xf>
    <xf numFmtId="0" fontId="5" fillId="0" borderId="0" xfId="145" quotePrefix="1" applyFont="1" applyFill="1" applyBorder="1"/>
    <xf numFmtId="37" fontId="5" fillId="0" borderId="0" xfId="145" applyNumberFormat="1" applyFont="1" applyFill="1" applyBorder="1" applyAlignment="1">
      <alignment horizontal="center"/>
    </xf>
    <xf numFmtId="5" fontId="5" fillId="16" borderId="3" xfId="145" applyNumberFormat="1" applyFont="1" applyFill="1" applyBorder="1" applyAlignment="1">
      <alignment horizontal="center"/>
    </xf>
    <xf numFmtId="0" fontId="18" fillId="16" borderId="23" xfId="0" applyFont="1" applyFill="1" applyBorder="1" applyAlignment="1" applyProtection="1">
      <alignment horizontal="center" vertical="center" wrapText="1"/>
      <protection locked="0"/>
    </xf>
    <xf numFmtId="15" fontId="37" fillId="0" borderId="0" xfId="143"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37" fontId="11" fillId="0" borderId="0" xfId="0" applyNumberFormat="1" applyFont="1" applyFill="1" applyBorder="1" applyAlignment="1">
      <alignment horizont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177" fontId="11" fillId="15" borderId="12" xfId="0" applyNumberFormat="1" applyFont="1" applyFill="1" applyBorder="1" applyAlignment="1">
      <alignment horizontal="center"/>
    </xf>
    <xf numFmtId="177" fontId="11" fillId="15" borderId="27" xfId="0" applyNumberFormat="1" applyFont="1" applyFill="1" applyBorder="1" applyAlignment="1">
      <alignment horizont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2" fillId="14" borderId="4" xfId="0" applyFont="1" applyFill="1" applyBorder="1" applyAlignment="1">
      <alignment horizontal="center"/>
    </xf>
    <xf numFmtId="0" fontId="12" fillId="14" borderId="5" xfId="0"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12" fillId="0" borderId="4"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5" fontId="11" fillId="0" borderId="12" xfId="0" applyNumberFormat="1" applyFont="1" applyFill="1" applyBorder="1" applyAlignment="1">
      <alignment horizontal="center"/>
    </xf>
    <xf numFmtId="5" fontId="11" fillId="0" borderId="0" xfId="0" applyNumberFormat="1" applyFont="1" applyFill="1" applyBorder="1" applyAlignment="1">
      <alignment horizontal="center"/>
    </xf>
    <xf numFmtId="5" fontId="11" fillId="0" borderId="27" xfId="0"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183" fontId="11" fillId="15" borderId="12" xfId="0" applyNumberFormat="1" applyFont="1" applyFill="1" applyBorder="1" applyAlignment="1">
      <alignment horizontal="center"/>
    </xf>
    <xf numFmtId="183" fontId="11" fillId="15" borderId="27" xfId="0" applyNumberFormat="1" applyFont="1" applyFill="1" applyBorder="1" applyAlignment="1">
      <alignment horizontal="center"/>
    </xf>
    <xf numFmtId="183" fontId="11" fillId="14" borderId="12" xfId="0" applyNumberFormat="1" applyFont="1" applyFill="1" applyBorder="1" applyAlignment="1">
      <alignment horizontal="center"/>
    </xf>
    <xf numFmtId="183" fontId="11" fillId="14" borderId="27" xfId="0" applyNumberFormat="1" applyFont="1" applyFill="1" applyBorder="1" applyAlignment="1">
      <alignment horizontal="center"/>
    </xf>
    <xf numFmtId="172" fontId="12" fillId="15" borderId="28" xfId="1" applyNumberFormat="1" applyFont="1" applyFill="1" applyBorder="1" applyAlignment="1">
      <alignment horizontal="center"/>
    </xf>
    <xf numFmtId="172" fontId="12" fillId="15" borderId="26" xfId="1" applyNumberFormat="1" applyFont="1" applyFill="1" applyBorder="1" applyAlignment="1">
      <alignment horizontal="center"/>
    </xf>
    <xf numFmtId="172" fontId="12" fillId="14" borderId="28" xfId="1" applyNumberFormat="1" applyFont="1" applyFill="1" applyBorder="1" applyAlignment="1">
      <alignment horizontal="center"/>
    </xf>
    <xf numFmtId="172" fontId="12" fillId="14" borderId="26" xfId="1" applyNumberFormat="1" applyFont="1" applyFill="1" applyBorder="1" applyAlignment="1">
      <alignment horizontal="center"/>
    </xf>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5" fontId="11" fillId="15" borderId="28" xfId="0" applyNumberFormat="1" applyFont="1" applyFill="1" applyBorder="1" applyAlignment="1">
      <alignment horizontal="center"/>
    </xf>
    <xf numFmtId="5" fontId="11" fillId="15" borderId="26" xfId="0" applyNumberFormat="1" applyFont="1" applyFill="1" applyBorder="1" applyAlignment="1">
      <alignment horizontal="center"/>
    </xf>
    <xf numFmtId="5" fontId="11" fillId="15" borderId="12" xfId="0" applyNumberFormat="1" applyFont="1" applyFill="1" applyBorder="1" applyAlignment="1">
      <alignment horizontal="center" vertical="center"/>
    </xf>
    <xf numFmtId="5" fontId="11" fillId="15" borderId="27" xfId="0" applyNumberFormat="1" applyFont="1" applyFill="1" applyBorder="1" applyAlignment="1">
      <alignment horizontal="center" vertical="center"/>
    </xf>
    <xf numFmtId="5" fontId="12" fillId="15" borderId="12" xfId="0" applyNumberFormat="1" applyFont="1" applyFill="1" applyBorder="1" applyAlignment="1">
      <alignment horizontal="center"/>
    </xf>
    <xf numFmtId="5" fontId="12" fillId="15"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171" fontId="11" fillId="14" borderId="12" xfId="0" applyNumberFormat="1" applyFont="1" applyFill="1" applyBorder="1" applyAlignment="1">
      <alignment horizontal="center"/>
    </xf>
    <xf numFmtId="171" fontId="11" fillId="14" borderId="27" xfId="0" applyNumberFormat="1" applyFont="1" applyFill="1" applyBorder="1" applyAlignment="1">
      <alignment horizontal="center"/>
    </xf>
    <xf numFmtId="170" fontId="11" fillId="14" borderId="12" xfId="0" applyNumberFormat="1" applyFont="1" applyFill="1" applyBorder="1" applyAlignment="1">
      <alignment horizontal="center"/>
    </xf>
    <xf numFmtId="170" fontId="11" fillId="14" borderId="27" xfId="0" applyNumberFormat="1" applyFont="1" applyFill="1" applyBorder="1" applyAlignment="1">
      <alignment horizontal="center"/>
    </xf>
    <xf numFmtId="170" fontId="11" fillId="14" borderId="6" xfId="0" applyNumberFormat="1" applyFont="1" applyFill="1" applyBorder="1" applyAlignment="1">
      <alignment horizontal="center"/>
    </xf>
    <xf numFmtId="170" fontId="11" fillId="14" borderId="7" xfId="0" applyNumberFormat="1" applyFont="1" applyFill="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5" fontId="11" fillId="14" borderId="12" xfId="0" applyNumberFormat="1" applyFont="1" applyFill="1" applyBorder="1" applyAlignment="1">
      <alignment horizontal="center" vertical="center"/>
    </xf>
    <xf numFmtId="5" fontId="11" fillId="14" borderId="27" xfId="0" applyNumberFormat="1" applyFont="1" applyFill="1" applyBorder="1" applyAlignment="1">
      <alignment horizontal="center" vertical="center"/>
    </xf>
    <xf numFmtId="5" fontId="11" fillId="14" borderId="28" xfId="0" applyNumberFormat="1" applyFont="1" applyFill="1" applyBorder="1" applyAlignment="1">
      <alignment horizontal="center"/>
    </xf>
    <xf numFmtId="5" fontId="11" fillId="14" borderId="26" xfId="0" applyNumberFormat="1" applyFont="1" applyFill="1" applyBorder="1" applyAlignment="1">
      <alignment horizontal="center"/>
    </xf>
    <xf numFmtId="5" fontId="12" fillId="14" borderId="12" xfId="0" applyNumberFormat="1" applyFont="1" applyFill="1" applyBorder="1" applyAlignment="1">
      <alignment horizontal="center"/>
    </xf>
    <xf numFmtId="5" fontId="12" fillId="14" borderId="27" xfId="0" applyNumberFormat="1" applyFont="1" applyFill="1" applyBorder="1" applyAlignment="1">
      <alignment horizont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5" fontId="12" fillId="15" borderId="12" xfId="0" applyNumberFormat="1" applyFont="1" applyFill="1" applyBorder="1" applyAlignment="1">
      <alignment horizontal="center" vertical="center"/>
    </xf>
    <xf numFmtId="5" fontId="12" fillId="15" borderId="27" xfId="0" applyNumberFormat="1" applyFont="1" applyFill="1" applyBorder="1" applyAlignment="1">
      <alignment horizontal="center" vertical="center"/>
    </xf>
    <xf numFmtId="5" fontId="12" fillId="14" borderId="12" xfId="0" applyNumberFormat="1" applyFont="1" applyFill="1" applyBorder="1" applyAlignment="1">
      <alignment horizontal="center" vertical="center"/>
    </xf>
    <xf numFmtId="5" fontId="12" fillId="14" borderId="27" xfId="0" applyNumberFormat="1" applyFont="1" applyFill="1" applyBorder="1" applyAlignment="1">
      <alignment horizontal="center" vertical="center"/>
    </xf>
    <xf numFmtId="5" fontId="11" fillId="14" borderId="6" xfId="0" applyNumberFormat="1" applyFont="1" applyFill="1" applyBorder="1" applyAlignment="1">
      <alignment horizontal="center"/>
    </xf>
    <xf numFmtId="5" fontId="11" fillId="14" borderId="7" xfId="0" applyNumberFormat="1" applyFont="1" applyFill="1" applyBorder="1" applyAlignment="1">
      <alignment horizontal="center"/>
    </xf>
    <xf numFmtId="0" fontId="12" fillId="0" borderId="0" xfId="0" applyFont="1" applyFill="1" applyBorder="1" applyAlignment="1">
      <alignment horizontal="center" vertical="center"/>
    </xf>
    <xf numFmtId="171" fontId="11" fillId="15" borderId="12" xfId="0" applyNumberFormat="1" applyFont="1" applyFill="1" applyBorder="1" applyAlignment="1">
      <alignment horizontal="center" vertical="center"/>
    </xf>
    <xf numFmtId="171"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72" fontId="11" fillId="15" borderId="12" xfId="0" applyNumberFormat="1" applyFont="1" applyFill="1" applyBorder="1" applyAlignment="1">
      <alignment horizontal="center" vertical="center"/>
    </xf>
    <xf numFmtId="172" fontId="11" fillId="15" borderId="27" xfId="0" applyNumberFormat="1" applyFont="1" applyFill="1" applyBorder="1" applyAlignment="1">
      <alignment horizontal="center" vertical="center"/>
    </xf>
    <xf numFmtId="178" fontId="11" fillId="15" borderId="6" xfId="0" applyNumberFormat="1" applyFont="1" applyFill="1" applyBorder="1" applyAlignment="1">
      <alignment horizontal="center"/>
    </xf>
    <xf numFmtId="178" fontId="11" fillId="15" borderId="7" xfId="0" applyNumberFormat="1" applyFont="1" applyFill="1" applyBorder="1" applyAlignment="1">
      <alignment horizontal="center"/>
    </xf>
    <xf numFmtId="7"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7" fontId="12" fillId="15" borderId="12" xfId="0" applyNumberFormat="1" applyFont="1" applyFill="1" applyBorder="1" applyAlignment="1">
      <alignment horizontal="center" vertical="center"/>
    </xf>
    <xf numFmtId="7" fontId="12" fillId="15" borderId="27" xfId="0"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72" fontId="11" fillId="15" borderId="12" xfId="1" applyNumberFormat="1" applyFont="1" applyFill="1" applyBorder="1" applyAlignment="1">
      <alignment horizontal="center"/>
    </xf>
    <xf numFmtId="172" fontId="0" fillId="0" borderId="27" xfId="0" applyNumberFormat="1" applyFont="1" applyBorder="1" applyAlignment="1">
      <alignment horizontal="center"/>
    </xf>
    <xf numFmtId="172" fontId="37" fillId="15" borderId="12" xfId="1" applyNumberFormat="1" applyFont="1" applyFill="1" applyBorder="1" applyAlignment="1">
      <alignment horizontal="center"/>
    </xf>
    <xf numFmtId="172" fontId="37" fillId="15" borderId="27" xfId="1" applyNumberFormat="1" applyFont="1" applyFill="1" applyBorder="1" applyAlignment="1">
      <alignment horizontal="center"/>
    </xf>
    <xf numFmtId="172" fontId="11" fillId="14" borderId="12" xfId="1" applyNumberFormat="1" applyFont="1" applyFill="1" applyBorder="1" applyAlignment="1">
      <alignment horizontal="center"/>
    </xf>
    <xf numFmtId="172" fontId="37" fillId="14" borderId="12" xfId="1" applyNumberFormat="1" applyFont="1" applyFill="1" applyBorder="1" applyAlignment="1">
      <alignment horizontal="center"/>
    </xf>
    <xf numFmtId="172" fontId="38" fillId="0" borderId="27" xfId="0" applyNumberFormat="1" applyFont="1" applyBorder="1" applyAlignment="1">
      <alignment horizontal="center"/>
    </xf>
    <xf numFmtId="172" fontId="12" fillId="15" borderId="12" xfId="1" applyNumberFormat="1" applyFont="1" applyFill="1" applyBorder="1" applyAlignment="1">
      <alignment horizontal="center"/>
    </xf>
    <xf numFmtId="172" fontId="0" fillId="0" borderId="27" xfId="0" applyNumberFormat="1" applyBorder="1" applyAlignment="1">
      <alignment horizontal="center"/>
    </xf>
    <xf numFmtId="178" fontId="11" fillId="14" borderId="6" xfId="0" applyNumberFormat="1" applyFont="1" applyFill="1" applyBorder="1" applyAlignment="1">
      <alignment horizontal="center" vertical="center"/>
    </xf>
    <xf numFmtId="178" fontId="11" fillId="14" borderId="7" xfId="0" applyNumberFormat="1" applyFont="1" applyFill="1" applyBorder="1" applyAlignment="1">
      <alignment horizontal="center" vertic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7" fontId="11" fillId="14" borderId="12" xfId="0" applyNumberFormat="1" applyFont="1" applyFill="1" applyBorder="1" applyAlignment="1">
      <alignment horizontal="center" vertical="center"/>
    </xf>
    <xf numFmtId="7" fontId="11" fillId="14" borderId="27" xfId="0" applyNumberFormat="1" applyFont="1" applyFill="1" applyBorder="1" applyAlignment="1">
      <alignment horizontal="center" vertical="center"/>
    </xf>
    <xf numFmtId="172" fontId="11" fillId="14" borderId="12" xfId="0" applyNumberFormat="1" applyFont="1" applyFill="1" applyBorder="1" applyAlignment="1">
      <alignment horizontal="center" vertical="center"/>
    </xf>
    <xf numFmtId="172" fontId="11" fillId="14" borderId="27" xfId="0" applyNumberFormat="1" applyFont="1" applyFill="1" applyBorder="1" applyAlignment="1">
      <alignment horizontal="center" vertical="center"/>
    </xf>
    <xf numFmtId="171" fontId="11" fillId="14" borderId="12" xfId="0" applyNumberFormat="1" applyFont="1" applyFill="1" applyBorder="1" applyAlignment="1">
      <alignment horizontal="center" vertical="center"/>
    </xf>
    <xf numFmtId="171" fontId="11" fillId="14" borderId="27" xfId="0" applyNumberFormat="1" applyFont="1" applyFill="1" applyBorder="1" applyAlignment="1">
      <alignment horizontal="center" vertical="center"/>
    </xf>
    <xf numFmtId="7" fontId="12" fillId="14" borderId="12" xfId="0" applyNumberFormat="1" applyFont="1" applyFill="1" applyBorder="1" applyAlignment="1">
      <alignment horizontal="center" vertical="center"/>
    </xf>
    <xf numFmtId="7" fontId="12" fillId="14" borderId="27" xfId="0" applyNumberFormat="1" applyFont="1" applyFill="1" applyBorder="1" applyAlignment="1">
      <alignment horizontal="center" vertical="center"/>
    </xf>
    <xf numFmtId="0" fontId="11" fillId="0" borderId="0" xfId="0" applyFont="1" applyFill="1" applyBorder="1" applyAlignment="1">
      <alignment horizontal="left"/>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164" fontId="11" fillId="0" borderId="0" xfId="1"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172" fontId="12" fillId="14" borderId="12" xfId="1" applyNumberFormat="1" applyFont="1" applyFill="1" applyBorder="1" applyAlignment="1">
      <alignment horizontal="center"/>
    </xf>
    <xf numFmtId="5" fontId="0" fillId="0" borderId="27" xfId="0" applyNumberFormat="1" applyBorder="1" applyAlignment="1">
      <alignment horizont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5" fontId="5" fillId="0" borderId="28" xfId="0" applyNumberFormat="1" applyFont="1" applyFill="1" applyBorder="1" applyAlignment="1" applyProtection="1">
      <alignment horizontal="center"/>
      <protection locked="0"/>
    </xf>
    <xf numFmtId="5" fontId="5" fillId="0" borderId="26" xfId="0" applyNumberFormat="1" applyFont="1" applyFill="1" applyBorder="1" applyAlignment="1" applyProtection="1">
      <alignment horizontal="center"/>
      <protection locked="0"/>
    </xf>
    <xf numFmtId="5" fontId="5" fillId="0" borderId="12" xfId="0" applyNumberFormat="1" applyFont="1" applyFill="1" applyBorder="1" applyAlignment="1" applyProtection="1">
      <alignment horizontal="center"/>
      <protection locked="0"/>
    </xf>
    <xf numFmtId="5" fontId="5" fillId="0" borderId="27" xfId="0" applyNumberFormat="1" applyFont="1" applyFill="1" applyBorder="1" applyAlignment="1" applyProtection="1">
      <alignment horizontal="center"/>
      <protection locked="0"/>
    </xf>
    <xf numFmtId="5" fontId="5" fillId="0" borderId="6" xfId="0" applyNumberFormat="1" applyFont="1" applyFill="1" applyBorder="1" applyAlignment="1" applyProtection="1">
      <alignment horizontal="center"/>
      <protection locked="0"/>
    </xf>
    <xf numFmtId="5" fontId="5" fillId="0" borderId="7" xfId="0" applyNumberFormat="1" applyFont="1" applyFill="1" applyBorder="1" applyAlignment="1" applyProtection="1">
      <alignment horizontal="center"/>
      <protection locked="0"/>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0" fontId="18"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6" borderId="12" xfId="0" applyNumberFormat="1" applyFont="1" applyFill="1" applyBorder="1" applyAlignment="1" applyProtection="1">
      <alignment horizontal="center"/>
      <protection locked="0"/>
    </xf>
    <xf numFmtId="164" fontId="18" fillId="16" borderId="0" xfId="0" applyNumberFormat="1" applyFont="1" applyFill="1" applyBorder="1" applyAlignment="1" applyProtection="1">
      <alignment horizontal="center"/>
      <protection locked="0"/>
    </xf>
    <xf numFmtId="164" fontId="18" fillId="16" borderId="27" xfId="0" applyNumberFormat="1" applyFont="1" applyFill="1" applyBorder="1" applyAlignment="1" applyProtection="1">
      <alignment horizontal="center"/>
      <protection locked="0"/>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0" fontId="11" fillId="0" borderId="2"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28" xfId="0" applyFont="1" applyBorder="1" applyAlignment="1" applyProtection="1">
      <alignment horizontal="left" vertical="center"/>
    </xf>
    <xf numFmtId="0" fontId="11" fillId="0" borderId="13" xfId="0" applyFont="1" applyBorder="1" applyAlignment="1" applyProtection="1">
      <alignment horizontal="left" vertical="center"/>
    </xf>
    <xf numFmtId="0" fontId="0" fillId="0" borderId="6" xfId="0" applyBorder="1" applyAlignment="1"/>
    <xf numFmtId="0" fontId="0" fillId="0" borderId="1" xfId="0" applyBorder="1" applyAlignment="1"/>
    <xf numFmtId="0" fontId="11" fillId="0" borderId="4" xfId="0" applyFont="1" applyBorder="1" applyAlignment="1" applyProtection="1">
      <alignment horizontal="left" vertical="center"/>
    </xf>
    <xf numFmtId="0" fontId="11" fillId="0" borderId="2" xfId="0" applyFont="1" applyBorder="1" applyAlignment="1" applyProtection="1">
      <alignment horizontal="left" vertical="center"/>
    </xf>
    <xf numFmtId="0" fontId="18"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vertical="top" wrapText="1"/>
    </xf>
    <xf numFmtId="0" fontId="11" fillId="0" borderId="5" xfId="0" applyFont="1" applyBorder="1" applyAlignment="1" applyProtection="1">
      <alignment horizontal="left" vertical="center"/>
    </xf>
    <xf numFmtId="0" fontId="12" fillId="0" borderId="4" xfId="0" applyFont="1" applyBorder="1" applyAlignment="1" applyProtection="1">
      <alignment horizontal="left"/>
    </xf>
    <xf numFmtId="0" fontId="12" fillId="0" borderId="2" xfId="0" applyFont="1" applyBorder="1" applyAlignment="1" applyProtection="1">
      <alignment horizontal="left"/>
    </xf>
    <xf numFmtId="0" fontId="12" fillId="0" borderId="4" xfId="0" applyFont="1" applyBorder="1" applyAlignment="1" applyProtection="1">
      <alignment horizontal="left" vertical="center"/>
    </xf>
    <xf numFmtId="0" fontId="11" fillId="0" borderId="2" xfId="0" applyFont="1" applyBorder="1" applyAlignment="1" applyProtection="1">
      <alignment horizontal="left"/>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37" fontId="18" fillId="16" borderId="12" xfId="0" applyNumberFormat="1" applyFont="1" applyFill="1" applyBorder="1" applyAlignment="1" applyProtection="1">
      <alignment horizontal="center"/>
      <protection locked="0"/>
    </xf>
    <xf numFmtId="37" fontId="18" fillId="16" borderId="0" xfId="0" applyNumberFormat="1" applyFont="1" applyFill="1" applyBorder="1" applyAlignment="1" applyProtection="1">
      <alignment horizontal="center"/>
      <protection locked="0"/>
    </xf>
    <xf numFmtId="37" fontId="18" fillId="16" borderId="27" xfId="0" applyNumberFormat="1" applyFont="1" applyFill="1" applyBorder="1" applyAlignment="1" applyProtection="1">
      <alignment horizontal="center"/>
      <protection locked="0"/>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2" fillId="16" borderId="4" xfId="0" applyFont="1" applyFill="1" applyBorder="1" applyAlignment="1" applyProtection="1">
      <alignment horizontal="center" vertical="center"/>
      <protection locked="0"/>
    </xf>
    <xf numFmtId="0" fontId="22" fillId="16" borderId="2" xfId="0" applyFont="1" applyFill="1" applyBorder="1" applyAlignment="1" applyProtection="1">
      <alignment horizontal="center" vertical="center"/>
      <protection locked="0"/>
    </xf>
    <xf numFmtId="0" fontId="22" fillId="16" borderId="5" xfId="0" applyFont="1" applyFill="1" applyBorder="1" applyAlignment="1" applyProtection="1">
      <alignment horizontal="center" vertical="center"/>
      <protection locked="0"/>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164" fontId="18" fillId="14" borderId="6" xfId="0"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0" fontId="12" fillId="0" borderId="2" xfId="0" applyFont="1" applyBorder="1" applyAlignment="1" applyProtection="1">
      <alignment horizontal="center"/>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5" fontId="37" fillId="16" borderId="12" xfId="0" applyNumberFormat="1" applyFont="1" applyFill="1" applyBorder="1" applyAlignment="1" applyProtection="1">
      <alignment horizontal="center"/>
      <protection locked="0"/>
    </xf>
    <xf numFmtId="5" fontId="37" fillId="16" borderId="27" xfId="0" applyNumberFormat="1" applyFont="1" applyFill="1" applyBorder="1" applyAlignment="1" applyProtection="1">
      <alignment horizontal="center"/>
      <protection locked="0"/>
    </xf>
    <xf numFmtId="37" fontId="37" fillId="16" borderId="12" xfId="0" applyNumberFormat="1" applyFont="1" applyFill="1" applyBorder="1" applyAlignment="1" applyProtection="1">
      <alignment horizontal="center"/>
      <protection locked="0"/>
    </xf>
    <xf numFmtId="37" fontId="37" fillId="16" borderId="27" xfId="0" applyNumberFormat="1" applyFont="1" applyFill="1" applyBorder="1" applyAlignment="1" applyProtection="1">
      <alignment horizontal="center"/>
      <protection locked="0"/>
    </xf>
    <xf numFmtId="9" fontId="37" fillId="16" borderId="12" xfId="1" applyNumberFormat="1" applyFont="1" applyFill="1" applyBorder="1" applyAlignment="1" applyProtection="1">
      <alignment horizontal="center"/>
      <protection locked="0"/>
    </xf>
    <xf numFmtId="9" fontId="37" fillId="16" borderId="27" xfId="1" applyNumberFormat="1" applyFont="1" applyFill="1" applyBorder="1" applyAlignment="1" applyProtection="1">
      <alignment horizontal="center"/>
      <protection locked="0"/>
    </xf>
    <xf numFmtId="9" fontId="25" fillId="0" borderId="12" xfId="1" applyNumberFormat="1" applyFont="1" applyFill="1" applyBorder="1" applyAlignment="1" applyProtection="1">
      <alignment horizontal="center"/>
      <protection locked="0"/>
    </xf>
    <xf numFmtId="9" fontId="25" fillId="0"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0" fontId="11" fillId="0" borderId="0" xfId="0" applyFont="1" applyAlignment="1" applyProtection="1">
      <alignment wrapText="1"/>
    </xf>
    <xf numFmtId="0" fontId="11" fillId="0" borderId="0" xfId="0" applyFont="1" applyAlignment="1" applyProtection="1"/>
    <xf numFmtId="0" fontId="11" fillId="0" borderId="0" xfId="0" applyFont="1" applyBorder="1" applyAlignment="1" applyProtection="1">
      <alignment horizontal="left" vertical="center" wrapText="1"/>
    </xf>
    <xf numFmtId="0" fontId="0" fillId="0" borderId="0" xfId="0" applyAlignment="1" applyProtection="1">
      <alignment wrapText="1"/>
    </xf>
    <xf numFmtId="0" fontId="11" fillId="0" borderId="0" xfId="0" applyFont="1" applyAlignment="1" applyProtection="1">
      <alignmen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0" fontId="12" fillId="0" borderId="4" xfId="0" applyFont="1" applyFill="1" applyBorder="1" applyAlignment="1" applyProtection="1">
      <alignment horizontal="left" vertical="center"/>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28" xfId="0" applyFont="1" applyBorder="1" applyAlignment="1" applyProtection="1">
      <alignment vertic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37" fontId="25" fillId="0" borderId="12" xfId="2" applyNumberFormat="1" applyFont="1" applyBorder="1" applyAlignment="1" applyProtection="1">
      <alignment horizontal="center"/>
      <protection locked="0"/>
    </xf>
    <xf numFmtId="0" fontId="0" fillId="0" borderId="27" xfId="0" applyBorder="1" applyAlignment="1">
      <alignment horizontal="center"/>
    </xf>
    <xf numFmtId="5" fontId="18" fillId="15" borderId="12" xfId="0" applyNumberFormat="1" applyFont="1" applyFill="1" applyBorder="1" applyAlignment="1" applyProtection="1">
      <alignment horizontal="center"/>
      <protection locked="0"/>
    </xf>
    <xf numFmtId="5" fontId="18" fillId="15" borderId="0" xfId="0" applyNumberFormat="1" applyFont="1" applyFill="1" applyBorder="1" applyAlignment="1" applyProtection="1">
      <alignment horizontal="center"/>
      <protection locked="0"/>
    </xf>
    <xf numFmtId="5" fontId="18" fillId="15" borderId="27" xfId="0" applyNumberFormat="1" applyFont="1" applyFill="1" applyBorder="1" applyAlignment="1" applyProtection="1">
      <alignment horizontal="center"/>
      <protection locked="0"/>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0" fontId="0" fillId="0" borderId="13" xfId="0" applyBorder="1" applyAlignment="1"/>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37" fontId="5" fillId="0" borderId="28" xfId="2" applyNumberFormat="1" applyFont="1" applyFill="1" applyBorder="1" applyAlignment="1" applyProtection="1">
      <alignment horizontal="center"/>
      <protection locked="0"/>
    </xf>
    <xf numFmtId="37" fontId="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0" fontId="11" fillId="0" borderId="1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0" fillId="0" borderId="12" xfId="0" applyBorder="1" applyAlignment="1"/>
    <xf numFmtId="0" fontId="0" fillId="0" borderId="0" xfId="0" applyAlignment="1"/>
    <xf numFmtId="9" fontId="37" fillId="16" borderId="12" xfId="0" applyNumberFormat="1" applyFont="1" applyFill="1" applyBorder="1" applyAlignment="1" applyProtection="1">
      <alignment horizontal="center"/>
      <protection locked="0"/>
    </xf>
    <xf numFmtId="37" fontId="25" fillId="0" borderId="6" xfId="2" applyNumberFormat="1" applyFont="1" applyBorder="1" applyAlignment="1" applyProtection="1">
      <alignment horizontal="center"/>
      <protection locked="0"/>
    </xf>
    <xf numFmtId="0" fontId="0" fillId="0" borderId="7" xfId="0" applyBorder="1" applyAlignment="1">
      <alignment horizontal="center"/>
    </xf>
    <xf numFmtId="5" fontId="25" fillId="0" borderId="12" xfId="0" applyNumberFormat="1" applyFont="1" applyFill="1" applyBorder="1" applyAlignment="1" applyProtection="1">
      <alignment horizontal="center"/>
      <protection locked="0"/>
    </xf>
    <xf numFmtId="5" fontId="25" fillId="0" borderId="27" xfId="0" applyNumberFormat="1" applyFont="1" applyFill="1" applyBorder="1" applyAlignment="1" applyProtection="1">
      <alignment horizontal="center"/>
      <protection locked="0"/>
    </xf>
    <xf numFmtId="5" fontId="25" fillId="0" borderId="28" xfId="0" applyNumberFormat="1" applyFont="1" applyFill="1" applyBorder="1" applyAlignment="1" applyProtection="1">
      <alignment horizontal="center"/>
      <protection locked="0"/>
    </xf>
    <xf numFmtId="5" fontId="25" fillId="0" borderId="26" xfId="0" applyNumberFormat="1" applyFont="1" applyFill="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5" fontId="18" fillId="14" borderId="12" xfId="0" applyNumberFormat="1" applyFont="1" applyFill="1" applyBorder="1" applyAlignment="1" applyProtection="1">
      <alignment horizontal="center"/>
      <protection locked="0"/>
    </xf>
    <xf numFmtId="5" fontId="18" fillId="14" borderId="0" xfId="0" applyNumberFormat="1" applyFont="1" applyFill="1" applyBorder="1" applyAlignment="1" applyProtection="1">
      <alignment horizontal="center"/>
      <protection locked="0"/>
    </xf>
    <xf numFmtId="5" fontId="18" fillId="14" borderId="27" xfId="0" applyNumberFormat="1" applyFont="1" applyFill="1" applyBorder="1" applyAlignment="1" applyProtection="1">
      <alignment horizontal="center"/>
      <protection locked="0"/>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xf numFmtId="7" fontId="37" fillId="15" borderId="12" xfId="0" applyNumberFormat="1" applyFont="1" applyFill="1" applyBorder="1" applyAlignment="1">
      <alignment horizontal="center" vertical="center"/>
    </xf>
    <xf numFmtId="7" fontId="37" fillId="15" borderId="27" xfId="0" applyNumberFormat="1" applyFont="1" applyFill="1" applyBorder="1" applyAlignment="1">
      <alignment horizontal="center" vertical="center"/>
    </xf>
    <xf numFmtId="7" fontId="37" fillId="14" borderId="12" xfId="0" applyNumberFormat="1" applyFont="1" applyFill="1" applyBorder="1" applyAlignment="1">
      <alignment horizontal="center" vertical="center"/>
    </xf>
    <xf numFmtId="7" fontId="37" fillId="14" borderId="27" xfId="0" applyNumberFormat="1" applyFont="1" applyFill="1" applyBorder="1" applyAlignment="1">
      <alignment horizontal="center" vertical="center"/>
    </xf>
    <xf numFmtId="7" fontId="46" fillId="15" borderId="12" xfId="0" applyNumberFormat="1" applyFont="1" applyFill="1" applyBorder="1" applyAlignment="1">
      <alignment horizontal="center" vertical="center"/>
    </xf>
    <xf numFmtId="7" fontId="46" fillId="15" borderId="27" xfId="0" applyNumberFormat="1" applyFont="1" applyFill="1" applyBorder="1" applyAlignment="1">
      <alignment horizontal="center" vertical="center"/>
    </xf>
    <xf numFmtId="7" fontId="46" fillId="14" borderId="12" xfId="0" applyNumberFormat="1" applyFont="1" applyFill="1" applyBorder="1" applyAlignment="1">
      <alignment horizontal="center" vertical="center"/>
    </xf>
    <xf numFmtId="7" fontId="46" fillId="14" borderId="27" xfId="0" applyNumberFormat="1" applyFont="1" applyFill="1" applyBorder="1" applyAlignment="1">
      <alignment horizontal="center" vertical="center"/>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182" fontId="46" fillId="15" borderId="28" xfId="1" applyNumberFormat="1" applyFont="1" applyFill="1" applyBorder="1" applyAlignment="1">
      <alignment horizontal="center"/>
    </xf>
    <xf numFmtId="182" fontId="46" fillId="15" borderId="26" xfId="1" applyNumberFormat="1" applyFont="1" applyFill="1" applyBorder="1" applyAlignment="1">
      <alignment horizontal="center"/>
    </xf>
    <xf numFmtId="182" fontId="46" fillId="14" borderId="28" xfId="1" applyNumberFormat="1" applyFont="1" applyFill="1" applyBorder="1" applyAlignment="1">
      <alignment horizontal="center"/>
    </xf>
    <xf numFmtId="182" fontId="46" fillId="14" borderId="26" xfId="1" applyNumberFormat="1" applyFont="1" applyFill="1" applyBorder="1" applyAlignment="1">
      <alignment horizontal="center"/>
    </xf>
    <xf numFmtId="182" fontId="46" fillId="15" borderId="4" xfId="1" applyNumberFormat="1" applyFont="1" applyFill="1" applyBorder="1" applyAlignment="1">
      <alignment horizontal="center"/>
    </xf>
    <xf numFmtId="182" fontId="46" fillId="15" borderId="5" xfId="1" applyNumberFormat="1" applyFont="1" applyFill="1" applyBorder="1" applyAlignment="1">
      <alignment horizontal="center"/>
    </xf>
    <xf numFmtId="182" fontId="46" fillId="14" borderId="4" xfId="1" applyNumberFormat="1" applyFont="1" applyFill="1" applyBorder="1" applyAlignment="1">
      <alignment horizontal="center"/>
    </xf>
    <xf numFmtId="182" fontId="46" fillId="14" borderId="5" xfId="1" applyNumberFormat="1" applyFont="1" applyFill="1" applyBorder="1" applyAlignment="1">
      <alignment horizontal="center"/>
    </xf>
    <xf numFmtId="166" fontId="46" fillId="15" borderId="12" xfId="0" applyNumberFormat="1" applyFont="1" applyFill="1" applyBorder="1" applyAlignment="1">
      <alignment horizontal="center" vertical="center"/>
    </xf>
    <xf numFmtId="166" fontId="46" fillId="15" borderId="27" xfId="0" applyNumberFormat="1" applyFont="1" applyFill="1" applyBorder="1" applyAlignment="1">
      <alignment horizontal="center" vertical="center"/>
    </xf>
    <xf numFmtId="166" fontId="46" fillId="14" borderId="12" xfId="0" applyNumberFormat="1" applyFont="1" applyFill="1" applyBorder="1" applyAlignment="1">
      <alignment horizontal="center" vertical="center"/>
    </xf>
    <xf numFmtId="166" fontId="46" fillId="14" borderId="27" xfId="0" applyNumberFormat="1" applyFont="1" applyFill="1" applyBorder="1" applyAlignment="1">
      <alignment horizontal="center" vertical="center"/>
    </xf>
    <xf numFmtId="0" fontId="47" fillId="15" borderId="12" xfId="0" applyFont="1" applyFill="1" applyBorder="1" applyAlignment="1">
      <alignment horizontal="center" vertical="center"/>
    </xf>
    <xf numFmtId="0" fontId="47" fillId="15" borderId="27" xfId="0" applyFont="1" applyFill="1" applyBorder="1" applyAlignment="1">
      <alignment horizontal="center" vertical="center"/>
    </xf>
    <xf numFmtId="0" fontId="47" fillId="14" borderId="12" xfId="0" applyFont="1" applyFill="1" applyBorder="1" applyAlignment="1">
      <alignment horizontal="center" vertical="center"/>
    </xf>
    <xf numFmtId="0" fontId="47" fillId="14" borderId="27" xfId="0" applyFont="1" applyFill="1" applyBorder="1" applyAlignment="1">
      <alignment horizontal="center" vertical="center"/>
    </xf>
    <xf numFmtId="5" fontId="37" fillId="14" borderId="12" xfId="0" applyNumberFormat="1" applyFont="1" applyFill="1" applyBorder="1" applyAlignment="1">
      <alignment horizontal="center" vertical="center"/>
    </xf>
    <xf numFmtId="5" fontId="37" fillId="14" borderId="27" xfId="0" applyNumberFormat="1" applyFont="1" applyFill="1" applyBorder="1" applyAlignment="1">
      <alignment horizontal="center" vertical="center"/>
    </xf>
    <xf numFmtId="5" fontId="37" fillId="15" borderId="12" xfId="0" applyNumberFormat="1" applyFont="1" applyFill="1" applyBorder="1" applyAlignment="1">
      <alignment horizontal="center" vertical="center"/>
    </xf>
    <xf numFmtId="5" fontId="37" fillId="15" borderId="27" xfId="0" applyNumberFormat="1" applyFont="1" applyFill="1" applyBorder="1" applyAlignment="1">
      <alignment horizontal="center" vertical="center"/>
    </xf>
    <xf numFmtId="172" fontId="12" fillId="15" borderId="4" xfId="1" applyNumberFormat="1" applyFont="1" applyFill="1" applyBorder="1" applyAlignment="1">
      <alignment horizontal="center"/>
    </xf>
    <xf numFmtId="172" fontId="12" fillId="15" borderId="5" xfId="1" applyNumberFormat="1" applyFont="1" applyFill="1" applyBorder="1" applyAlignment="1">
      <alignment horizontal="center"/>
    </xf>
    <xf numFmtId="172" fontId="12" fillId="14" borderId="4" xfId="1" applyNumberFormat="1" applyFont="1" applyFill="1" applyBorder="1" applyAlignment="1">
      <alignment horizontal="center"/>
    </xf>
    <xf numFmtId="172" fontId="12" fillId="14" borderId="5" xfId="1" applyNumberFormat="1" applyFont="1" applyFill="1" applyBorder="1" applyAlignment="1">
      <alignment horizontal="center"/>
    </xf>
    <xf numFmtId="172" fontId="37" fillId="15" borderId="12" xfId="0" applyNumberFormat="1" applyFont="1" applyFill="1" applyBorder="1" applyAlignment="1">
      <alignment horizontal="center" vertical="center"/>
    </xf>
    <xf numFmtId="172" fontId="37" fillId="15" borderId="27" xfId="0" applyNumberFormat="1" applyFont="1" applyFill="1" applyBorder="1" applyAlignment="1">
      <alignment horizontal="center" vertical="center"/>
    </xf>
    <xf numFmtId="172" fontId="37" fillId="14" borderId="12" xfId="0" applyNumberFormat="1" applyFont="1" applyFill="1" applyBorder="1" applyAlignment="1">
      <alignment horizontal="center" vertical="center"/>
    </xf>
    <xf numFmtId="172" fontId="37" fillId="14" borderId="27" xfId="0" applyNumberFormat="1" applyFont="1" applyFill="1" applyBorder="1" applyAlignment="1">
      <alignment horizontal="center" vertical="center"/>
    </xf>
    <xf numFmtId="0" fontId="26" fillId="0" borderId="4" xfId="143" applyFont="1" applyFill="1" applyBorder="1" applyAlignment="1">
      <alignment horizontal="center"/>
    </xf>
    <xf numFmtId="0" fontId="40" fillId="0" borderId="5" xfId="0" applyFont="1" applyBorder="1" applyAlignment="1">
      <alignment horizont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182" fontId="37" fillId="15" borderId="12" xfId="1" applyNumberFormat="1" applyFont="1" applyFill="1" applyBorder="1" applyAlignment="1">
      <alignment horizontal="center"/>
    </xf>
    <xf numFmtId="182" fontId="37" fillId="15" borderId="27" xfId="1" applyNumberFormat="1" applyFont="1" applyFill="1" applyBorder="1" applyAlignment="1">
      <alignment horizontal="center"/>
    </xf>
    <xf numFmtId="182" fontId="37" fillId="14" borderId="12" xfId="1" applyNumberFormat="1" applyFont="1" applyFill="1" applyBorder="1" applyAlignment="1">
      <alignment horizontal="center"/>
    </xf>
    <xf numFmtId="182" fontId="37" fillId="14" borderId="27" xfId="1" applyNumberFormat="1" applyFont="1" applyFill="1" applyBorder="1" applyAlignment="1">
      <alignment horizontal="center"/>
    </xf>
    <xf numFmtId="182" fontId="37" fillId="15" borderId="6" xfId="1" applyNumberFormat="1" applyFont="1" applyFill="1" applyBorder="1" applyAlignment="1">
      <alignment horizontal="center"/>
    </xf>
    <xf numFmtId="182" fontId="37" fillId="15" borderId="7" xfId="1" applyNumberFormat="1" applyFont="1" applyFill="1" applyBorder="1" applyAlignment="1">
      <alignment horizontal="center"/>
    </xf>
    <xf numFmtId="182" fontId="37" fillId="14" borderId="6" xfId="1" applyNumberFormat="1" applyFont="1" applyFill="1" applyBorder="1" applyAlignment="1">
      <alignment horizontal="center"/>
    </xf>
    <xf numFmtId="182" fontId="37" fillId="14" borderId="7" xfId="1" applyNumberFormat="1" applyFont="1" applyFill="1" applyBorder="1" applyAlignment="1">
      <alignment horizontal="center"/>
    </xf>
    <xf numFmtId="164" fontId="37" fillId="14" borderId="12" xfId="1" applyNumberFormat="1" applyFont="1" applyFill="1" applyBorder="1" applyAlignment="1">
      <alignment horizontal="center" vertical="center"/>
    </xf>
    <xf numFmtId="164" fontId="37" fillId="14" borderId="27" xfId="1" applyNumberFormat="1" applyFont="1" applyFill="1" applyBorder="1" applyAlignment="1">
      <alignment horizontal="center" vertical="center"/>
    </xf>
    <xf numFmtId="0" fontId="37" fillId="15" borderId="27" xfId="0" applyFont="1" applyFill="1" applyBorder="1" applyAlignment="1">
      <alignment horizontal="center" vertical="center"/>
    </xf>
    <xf numFmtId="178" fontId="37" fillId="15" borderId="6" xfId="0" applyNumberFormat="1" applyFont="1" applyFill="1" applyBorder="1" applyAlignment="1">
      <alignment horizontal="center"/>
    </xf>
    <xf numFmtId="178" fontId="37" fillId="15" borderId="7" xfId="0" applyNumberFormat="1" applyFont="1" applyFill="1" applyBorder="1" applyAlignment="1">
      <alignment horizontal="center"/>
    </xf>
    <xf numFmtId="178" fontId="37" fillId="14" borderId="6" xfId="0" applyNumberFormat="1" applyFont="1" applyFill="1" applyBorder="1" applyAlignment="1">
      <alignment horizontal="center" vertical="center"/>
    </xf>
    <xf numFmtId="178" fontId="37" fillId="14" borderId="7" xfId="0" applyNumberFormat="1" applyFont="1" applyFill="1" applyBorder="1" applyAlignment="1">
      <alignment horizontal="center" vertical="center"/>
    </xf>
    <xf numFmtId="164" fontId="46" fillId="14" borderId="12" xfId="1" applyNumberFormat="1" applyFont="1" applyFill="1" applyBorder="1" applyAlignment="1">
      <alignment horizontal="center" vertical="center"/>
    </xf>
    <xf numFmtId="164" fontId="46" fillId="14" borderId="27" xfId="1" applyNumberFormat="1" applyFont="1" applyFill="1" applyBorder="1" applyAlignment="1">
      <alignment horizontal="center" vertical="center"/>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0" fontId="26" fillId="0" borderId="5" xfId="143" applyFont="1" applyFill="1" applyBorder="1" applyAlignment="1">
      <alignment horizontal="center"/>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172" fontId="11" fillId="15" borderId="6" xfId="1" applyNumberFormat="1" applyFont="1" applyFill="1" applyBorder="1" applyAlignment="1">
      <alignment horizontal="center"/>
    </xf>
    <xf numFmtId="172" fontId="11" fillId="15" borderId="7" xfId="1" applyNumberFormat="1" applyFont="1" applyFill="1" applyBorder="1" applyAlignment="1">
      <alignment horizontal="center"/>
    </xf>
    <xf numFmtId="172" fontId="11" fillId="14" borderId="6" xfId="1" applyNumberFormat="1" applyFont="1" applyFill="1" applyBorder="1" applyAlignment="1">
      <alignment horizontal="center"/>
    </xf>
    <xf numFmtId="172" fontId="11" fillId="14" borderId="7" xfId="1" applyNumberFormat="1" applyFont="1" applyFill="1" applyBorder="1" applyAlignment="1">
      <alignment horizontal="center"/>
    </xf>
    <xf numFmtId="168" fontId="25" fillId="0" borderId="28" xfId="0" applyNumberFormat="1" applyFont="1" applyFill="1" applyBorder="1" applyAlignment="1" applyProtection="1">
      <alignment horizontal="center"/>
      <protection locked="0"/>
    </xf>
    <xf numFmtId="168" fontId="25" fillId="0" borderId="26" xfId="0" applyNumberFormat="1" applyFont="1" applyFill="1" applyBorder="1" applyAlignment="1" applyProtection="1">
      <alignment horizontal="center"/>
      <protection locked="0"/>
    </xf>
    <xf numFmtId="168" fontId="25" fillId="0" borderId="6" xfId="0" applyNumberFormat="1" applyFont="1" applyFill="1" applyBorder="1" applyAlignment="1" applyProtection="1">
      <alignment horizontal="center"/>
      <protection locked="0"/>
    </xf>
    <xf numFmtId="168" fontId="25" fillId="0" borderId="7" xfId="0" applyNumberFormat="1" applyFont="1" applyFill="1" applyBorder="1" applyAlignment="1" applyProtection="1">
      <alignment horizontal="center"/>
      <protection locked="0"/>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cellXfs>
  <cellStyles count="246">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527E9"/>
      <color rgb="FF070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4"/>
  <sheetViews>
    <sheetView showGridLines="0" tabSelected="1" zoomScale="85" zoomScaleNormal="85" zoomScalePageLayoutView="85" workbookViewId="0"/>
  </sheetViews>
  <sheetFormatPr defaultColWidth="0" defaultRowHeight="12.75" customHeight="1" zeroHeight="1" x14ac:dyDescent="0.25"/>
  <cols>
    <col min="1" max="6" width="2.6640625" style="734" customWidth="1"/>
    <col min="7" max="17" width="12.6640625" style="734" customWidth="1"/>
    <col min="18" max="18" width="2.6640625" style="734" customWidth="1"/>
    <col min="19" max="259" width="9.109375" style="734" hidden="1" customWidth="1"/>
    <col min="260" max="260" width="3.33203125" style="734" hidden="1" customWidth="1"/>
    <col min="261" max="263" width="2.6640625" style="734" hidden="1" customWidth="1"/>
    <col min="264" max="273" width="12.6640625" style="734" hidden="1" customWidth="1"/>
    <col min="274" max="274" width="2.6640625" style="734" hidden="1" customWidth="1"/>
    <col min="275" max="515" width="0" style="734" hidden="1"/>
    <col min="516" max="516" width="3.33203125" style="734" hidden="1" customWidth="1"/>
    <col min="517" max="519" width="2.6640625" style="734" hidden="1" customWidth="1"/>
    <col min="520" max="529" width="12.6640625" style="734" hidden="1" customWidth="1"/>
    <col min="530" max="530" width="2.6640625" style="734" hidden="1" customWidth="1"/>
    <col min="531" max="771" width="0" style="734" hidden="1"/>
    <col min="772" max="772" width="3.33203125" style="734" hidden="1" customWidth="1"/>
    <col min="773" max="775" width="2.6640625" style="734" hidden="1" customWidth="1"/>
    <col min="776" max="785" width="12.6640625" style="734" hidden="1" customWidth="1"/>
    <col min="786" max="786" width="2.6640625" style="734" hidden="1" customWidth="1"/>
    <col min="787" max="1027" width="0" style="734" hidden="1"/>
    <col min="1028" max="1028" width="3.33203125" style="734" hidden="1" customWidth="1"/>
    <col min="1029" max="1031" width="2.6640625" style="734" hidden="1" customWidth="1"/>
    <col min="1032" max="1041" width="12.6640625" style="734" hidden="1" customWidth="1"/>
    <col min="1042" max="1042" width="2.6640625" style="734" hidden="1" customWidth="1"/>
    <col min="1043" max="1283" width="0" style="734" hidden="1"/>
    <col min="1284" max="1284" width="3.33203125" style="734" hidden="1" customWidth="1"/>
    <col min="1285" max="1287" width="2.6640625" style="734" hidden="1" customWidth="1"/>
    <col min="1288" max="1297" width="12.6640625" style="734" hidden="1" customWidth="1"/>
    <col min="1298" max="1298" width="2.6640625" style="734" hidden="1" customWidth="1"/>
    <col min="1299" max="1539" width="0" style="734" hidden="1"/>
    <col min="1540" max="1540" width="3.33203125" style="734" hidden="1" customWidth="1"/>
    <col min="1541" max="1543" width="2.6640625" style="734" hidden="1" customWidth="1"/>
    <col min="1544" max="1553" width="12.6640625" style="734" hidden="1" customWidth="1"/>
    <col min="1554" max="1554" width="2.6640625" style="734" hidden="1" customWidth="1"/>
    <col min="1555" max="1795" width="0" style="734" hidden="1"/>
    <col min="1796" max="1796" width="3.33203125" style="734" hidden="1" customWidth="1"/>
    <col min="1797" max="1799" width="2.6640625" style="734" hidden="1" customWidth="1"/>
    <col min="1800" max="1809" width="12.6640625" style="734" hidden="1" customWidth="1"/>
    <col min="1810" max="1810" width="2.6640625" style="734" hidden="1" customWidth="1"/>
    <col min="1811" max="2051" width="0" style="734" hidden="1"/>
    <col min="2052" max="2052" width="3.33203125" style="734" hidden="1" customWidth="1"/>
    <col min="2053" max="2055" width="2.6640625" style="734" hidden="1" customWidth="1"/>
    <col min="2056" max="2065" width="12.6640625" style="734" hidden="1" customWidth="1"/>
    <col min="2066" max="2066" width="2.6640625" style="734" hidden="1" customWidth="1"/>
    <col min="2067" max="2307" width="0" style="734" hidden="1"/>
    <col min="2308" max="2308" width="3.33203125" style="734" hidden="1" customWidth="1"/>
    <col min="2309" max="2311" width="2.6640625" style="734" hidden="1" customWidth="1"/>
    <col min="2312" max="2321" width="12.6640625" style="734" hidden="1" customWidth="1"/>
    <col min="2322" max="2322" width="2.6640625" style="734" hidden="1" customWidth="1"/>
    <col min="2323" max="2563" width="0" style="734" hidden="1"/>
    <col min="2564" max="2564" width="3.33203125" style="734" hidden="1" customWidth="1"/>
    <col min="2565" max="2567" width="2.6640625" style="734" hidden="1" customWidth="1"/>
    <col min="2568" max="2577" width="12.6640625" style="734" hidden="1" customWidth="1"/>
    <col min="2578" max="2578" width="2.6640625" style="734" hidden="1" customWidth="1"/>
    <col min="2579" max="2819" width="0" style="734" hidden="1"/>
    <col min="2820" max="2820" width="3.33203125" style="734" hidden="1" customWidth="1"/>
    <col min="2821" max="2823" width="2.6640625" style="734" hidden="1" customWidth="1"/>
    <col min="2824" max="2833" width="12.6640625" style="734" hidden="1" customWidth="1"/>
    <col min="2834" max="2834" width="2.6640625" style="734" hidden="1" customWidth="1"/>
    <col min="2835" max="3075" width="0" style="734" hidden="1"/>
    <col min="3076" max="3076" width="3.33203125" style="734" hidden="1" customWidth="1"/>
    <col min="3077" max="3079" width="2.6640625" style="734" hidden="1" customWidth="1"/>
    <col min="3080" max="3089" width="12.6640625" style="734" hidden="1" customWidth="1"/>
    <col min="3090" max="3090" width="2.6640625" style="734" hidden="1" customWidth="1"/>
    <col min="3091" max="3331" width="0" style="734" hidden="1"/>
    <col min="3332" max="3332" width="3.33203125" style="734" hidden="1" customWidth="1"/>
    <col min="3333" max="3335" width="2.6640625" style="734" hidden="1" customWidth="1"/>
    <col min="3336" max="3345" width="12.6640625" style="734" hidden="1" customWidth="1"/>
    <col min="3346" max="3346" width="2.6640625" style="734" hidden="1" customWidth="1"/>
    <col min="3347" max="3587" width="0" style="734" hidden="1"/>
    <col min="3588" max="3588" width="3.33203125" style="734" hidden="1" customWidth="1"/>
    <col min="3589" max="3591" width="2.6640625" style="734" hidden="1" customWidth="1"/>
    <col min="3592" max="3601" width="12.6640625" style="734" hidden="1" customWidth="1"/>
    <col min="3602" max="3602" width="2.6640625" style="734" hidden="1" customWidth="1"/>
    <col min="3603" max="3843" width="0" style="734" hidden="1"/>
    <col min="3844" max="3844" width="3.33203125" style="734" hidden="1" customWidth="1"/>
    <col min="3845" max="3847" width="2.6640625" style="734" hidden="1" customWidth="1"/>
    <col min="3848" max="3857" width="12.6640625" style="734" hidden="1" customWidth="1"/>
    <col min="3858" max="3858" width="2.6640625" style="734" hidden="1" customWidth="1"/>
    <col min="3859" max="4099" width="0" style="734" hidden="1"/>
    <col min="4100" max="4100" width="3.33203125" style="734" hidden="1" customWidth="1"/>
    <col min="4101" max="4103" width="2.6640625" style="734" hidden="1" customWidth="1"/>
    <col min="4104" max="4113" width="12.6640625" style="734" hidden="1" customWidth="1"/>
    <col min="4114" max="4114" width="2.6640625" style="734" hidden="1" customWidth="1"/>
    <col min="4115" max="4355" width="0" style="734" hidden="1"/>
    <col min="4356" max="4356" width="3.33203125" style="734" hidden="1" customWidth="1"/>
    <col min="4357" max="4359" width="2.6640625" style="734" hidden="1" customWidth="1"/>
    <col min="4360" max="4369" width="12.6640625" style="734" hidden="1" customWidth="1"/>
    <col min="4370" max="4370" width="2.6640625" style="734" hidden="1" customWidth="1"/>
    <col min="4371" max="4611" width="0" style="734" hidden="1"/>
    <col min="4612" max="4612" width="3.33203125" style="734" hidden="1" customWidth="1"/>
    <col min="4613" max="4615" width="2.6640625" style="734" hidden="1" customWidth="1"/>
    <col min="4616" max="4625" width="12.6640625" style="734" hidden="1" customWidth="1"/>
    <col min="4626" max="4626" width="2.6640625" style="734" hidden="1" customWidth="1"/>
    <col min="4627" max="4867" width="0" style="734" hidden="1"/>
    <col min="4868" max="4868" width="3.33203125" style="734" hidden="1" customWidth="1"/>
    <col min="4869" max="4871" width="2.6640625" style="734" hidden="1" customWidth="1"/>
    <col min="4872" max="4881" width="12.6640625" style="734" hidden="1" customWidth="1"/>
    <col min="4882" max="4882" width="2.6640625" style="734" hidden="1" customWidth="1"/>
    <col min="4883" max="5123" width="0" style="734" hidden="1"/>
    <col min="5124" max="5124" width="3.33203125" style="734" hidden="1" customWidth="1"/>
    <col min="5125" max="5127" width="2.6640625" style="734" hidden="1" customWidth="1"/>
    <col min="5128" max="5137" width="12.6640625" style="734" hidden="1" customWidth="1"/>
    <col min="5138" max="5138" width="2.6640625" style="734" hidden="1" customWidth="1"/>
    <col min="5139" max="5379" width="0" style="734" hidden="1"/>
    <col min="5380" max="5380" width="3.33203125" style="734" hidden="1" customWidth="1"/>
    <col min="5381" max="5383" width="2.6640625" style="734" hidden="1" customWidth="1"/>
    <col min="5384" max="5393" width="12.6640625" style="734" hidden="1" customWidth="1"/>
    <col min="5394" max="5394" width="2.6640625" style="734" hidden="1" customWidth="1"/>
    <col min="5395" max="5635" width="0" style="734" hidden="1"/>
    <col min="5636" max="5636" width="3.33203125" style="734" hidden="1" customWidth="1"/>
    <col min="5637" max="5639" width="2.6640625" style="734" hidden="1" customWidth="1"/>
    <col min="5640" max="5649" width="12.6640625" style="734" hidden="1" customWidth="1"/>
    <col min="5650" max="5650" width="2.6640625" style="734" hidden="1" customWidth="1"/>
    <col min="5651" max="5891" width="0" style="734" hidden="1"/>
    <col min="5892" max="5892" width="3.33203125" style="734" hidden="1" customWidth="1"/>
    <col min="5893" max="5895" width="2.6640625" style="734" hidden="1" customWidth="1"/>
    <col min="5896" max="5905" width="12.6640625" style="734" hidden="1" customWidth="1"/>
    <col min="5906" max="5906" width="2.6640625" style="734" hidden="1" customWidth="1"/>
    <col min="5907" max="6147" width="0" style="734" hidden="1"/>
    <col min="6148" max="6148" width="3.33203125" style="734" hidden="1" customWidth="1"/>
    <col min="6149" max="6151" width="2.6640625" style="734" hidden="1" customWidth="1"/>
    <col min="6152" max="6161" width="12.6640625" style="734" hidden="1" customWidth="1"/>
    <col min="6162" max="6162" width="2.6640625" style="734" hidden="1" customWidth="1"/>
    <col min="6163" max="6403" width="0" style="734" hidden="1"/>
    <col min="6404" max="6404" width="3.33203125" style="734" hidden="1" customWidth="1"/>
    <col min="6405" max="6407" width="2.6640625" style="734" hidden="1" customWidth="1"/>
    <col min="6408" max="6417" width="12.6640625" style="734" hidden="1" customWidth="1"/>
    <col min="6418" max="6418" width="2.6640625" style="734" hidden="1" customWidth="1"/>
    <col min="6419" max="6659" width="0" style="734" hidden="1"/>
    <col min="6660" max="6660" width="3.33203125" style="734" hidden="1" customWidth="1"/>
    <col min="6661" max="6663" width="2.6640625" style="734" hidden="1" customWidth="1"/>
    <col min="6664" max="6673" width="12.6640625" style="734" hidden="1" customWidth="1"/>
    <col min="6674" max="6674" width="2.6640625" style="734" hidden="1" customWidth="1"/>
    <col min="6675" max="6915" width="0" style="734" hidden="1"/>
    <col min="6916" max="6916" width="3.33203125" style="734" hidden="1" customWidth="1"/>
    <col min="6917" max="6919" width="2.6640625" style="734" hidden="1" customWidth="1"/>
    <col min="6920" max="6929" width="12.6640625" style="734" hidden="1" customWidth="1"/>
    <col min="6930" max="6930" width="2.6640625" style="734" hidden="1" customWidth="1"/>
    <col min="6931" max="7171" width="0" style="734" hidden="1"/>
    <col min="7172" max="7172" width="3.33203125" style="734" hidden="1" customWidth="1"/>
    <col min="7173" max="7175" width="2.6640625" style="734" hidden="1" customWidth="1"/>
    <col min="7176" max="7185" width="12.6640625" style="734" hidden="1" customWidth="1"/>
    <col min="7186" max="7186" width="2.6640625" style="734" hidden="1" customWidth="1"/>
    <col min="7187" max="7427" width="0" style="734" hidden="1"/>
    <col min="7428" max="7428" width="3.33203125" style="734" hidden="1" customWidth="1"/>
    <col min="7429" max="7431" width="2.6640625" style="734" hidden="1" customWidth="1"/>
    <col min="7432" max="7441" width="12.6640625" style="734" hidden="1" customWidth="1"/>
    <col min="7442" max="7442" width="2.6640625" style="734" hidden="1" customWidth="1"/>
    <col min="7443" max="7683" width="0" style="734" hidden="1"/>
    <col min="7684" max="7684" width="3.33203125" style="734" hidden="1" customWidth="1"/>
    <col min="7685" max="7687" width="2.6640625" style="734" hidden="1" customWidth="1"/>
    <col min="7688" max="7697" width="12.6640625" style="734" hidden="1" customWidth="1"/>
    <col min="7698" max="7698" width="2.6640625" style="734" hidden="1" customWidth="1"/>
    <col min="7699" max="7939" width="0" style="734" hidden="1"/>
    <col min="7940" max="7940" width="3.33203125" style="734" hidden="1" customWidth="1"/>
    <col min="7941" max="7943" width="2.6640625" style="734" hidden="1" customWidth="1"/>
    <col min="7944" max="7953" width="12.6640625" style="734" hidden="1" customWidth="1"/>
    <col min="7954" max="7954" width="2.6640625" style="734" hidden="1" customWidth="1"/>
    <col min="7955" max="8195" width="0" style="734" hidden="1"/>
    <col min="8196" max="8196" width="3.33203125" style="734" hidden="1" customWidth="1"/>
    <col min="8197" max="8199" width="2.6640625" style="734" hidden="1" customWidth="1"/>
    <col min="8200" max="8209" width="12.6640625" style="734" hidden="1" customWidth="1"/>
    <col min="8210" max="8210" width="2.6640625" style="734" hidden="1" customWidth="1"/>
    <col min="8211" max="8451" width="0" style="734" hidden="1"/>
    <col min="8452" max="8452" width="3.33203125" style="734" hidden="1" customWidth="1"/>
    <col min="8453" max="8455" width="2.6640625" style="734" hidden="1" customWidth="1"/>
    <col min="8456" max="8465" width="12.6640625" style="734" hidden="1" customWidth="1"/>
    <col min="8466" max="8466" width="2.6640625" style="734" hidden="1" customWidth="1"/>
    <col min="8467" max="8707" width="0" style="734" hidden="1"/>
    <col min="8708" max="8708" width="3.33203125" style="734" hidden="1" customWidth="1"/>
    <col min="8709" max="8711" width="2.6640625" style="734" hidden="1" customWidth="1"/>
    <col min="8712" max="8721" width="12.6640625" style="734" hidden="1" customWidth="1"/>
    <col min="8722" max="8722" width="2.6640625" style="734" hidden="1" customWidth="1"/>
    <col min="8723" max="8963" width="0" style="734" hidden="1"/>
    <col min="8964" max="8964" width="3.33203125" style="734" hidden="1" customWidth="1"/>
    <col min="8965" max="8967" width="2.6640625" style="734" hidden="1" customWidth="1"/>
    <col min="8968" max="8977" width="12.6640625" style="734" hidden="1" customWidth="1"/>
    <col min="8978" max="8978" width="2.6640625" style="734" hidden="1" customWidth="1"/>
    <col min="8979" max="9219" width="0" style="734" hidden="1"/>
    <col min="9220" max="9220" width="3.33203125" style="734" hidden="1" customWidth="1"/>
    <col min="9221" max="9223" width="2.6640625" style="734" hidden="1" customWidth="1"/>
    <col min="9224" max="9233" width="12.6640625" style="734" hidden="1" customWidth="1"/>
    <col min="9234" max="9234" width="2.6640625" style="734" hidden="1" customWidth="1"/>
    <col min="9235" max="9475" width="0" style="734" hidden="1"/>
    <col min="9476" max="9476" width="3.33203125" style="734" hidden="1" customWidth="1"/>
    <col min="9477" max="9479" width="2.6640625" style="734" hidden="1" customWidth="1"/>
    <col min="9480" max="9489" width="12.6640625" style="734" hidden="1" customWidth="1"/>
    <col min="9490" max="9490" width="2.6640625" style="734" hidden="1" customWidth="1"/>
    <col min="9491" max="9731" width="0" style="734" hidden="1"/>
    <col min="9732" max="9732" width="3.33203125" style="734" hidden="1" customWidth="1"/>
    <col min="9733" max="9735" width="2.6640625" style="734" hidden="1" customWidth="1"/>
    <col min="9736" max="9745" width="12.6640625" style="734" hidden="1" customWidth="1"/>
    <col min="9746" max="9746" width="2.6640625" style="734" hidden="1" customWidth="1"/>
    <col min="9747" max="9987" width="0" style="734" hidden="1"/>
    <col min="9988" max="9988" width="3.33203125" style="734" hidden="1" customWidth="1"/>
    <col min="9989" max="9991" width="2.6640625" style="734" hidden="1" customWidth="1"/>
    <col min="9992" max="10001" width="12.6640625" style="734" hidden="1" customWidth="1"/>
    <col min="10002" max="10002" width="2.6640625" style="734" hidden="1" customWidth="1"/>
    <col min="10003" max="10243" width="0" style="734" hidden="1"/>
    <col min="10244" max="10244" width="3.33203125" style="734" hidden="1" customWidth="1"/>
    <col min="10245" max="10247" width="2.6640625" style="734" hidden="1" customWidth="1"/>
    <col min="10248" max="10257" width="12.6640625" style="734" hidden="1" customWidth="1"/>
    <col min="10258" max="10258" width="2.6640625" style="734" hidden="1" customWidth="1"/>
    <col min="10259" max="10499" width="0" style="734" hidden="1"/>
    <col min="10500" max="10500" width="3.33203125" style="734" hidden="1" customWidth="1"/>
    <col min="10501" max="10503" width="2.6640625" style="734" hidden="1" customWidth="1"/>
    <col min="10504" max="10513" width="12.6640625" style="734" hidden="1" customWidth="1"/>
    <col min="10514" max="10514" width="2.6640625" style="734" hidden="1" customWidth="1"/>
    <col min="10515" max="10755" width="0" style="734" hidden="1"/>
    <col min="10756" max="10756" width="3.33203125" style="734" hidden="1" customWidth="1"/>
    <col min="10757" max="10759" width="2.6640625" style="734" hidden="1" customWidth="1"/>
    <col min="10760" max="10769" width="12.6640625" style="734" hidden="1" customWidth="1"/>
    <col min="10770" max="10770" width="2.6640625" style="734" hidden="1" customWidth="1"/>
    <col min="10771" max="11011" width="0" style="734" hidden="1"/>
    <col min="11012" max="11012" width="3.33203125" style="734" hidden="1" customWidth="1"/>
    <col min="11013" max="11015" width="2.6640625" style="734" hidden="1" customWidth="1"/>
    <col min="11016" max="11025" width="12.6640625" style="734" hidden="1" customWidth="1"/>
    <col min="11026" max="11026" width="2.6640625" style="734" hidden="1" customWidth="1"/>
    <col min="11027" max="11267" width="0" style="734" hidden="1"/>
    <col min="11268" max="11268" width="3.33203125" style="734" hidden="1" customWidth="1"/>
    <col min="11269" max="11271" width="2.6640625" style="734" hidden="1" customWidth="1"/>
    <col min="11272" max="11281" width="12.6640625" style="734" hidden="1" customWidth="1"/>
    <col min="11282" max="11282" width="2.6640625" style="734" hidden="1" customWidth="1"/>
    <col min="11283" max="11523" width="0" style="734" hidden="1"/>
    <col min="11524" max="11524" width="3.33203125" style="734" hidden="1" customWidth="1"/>
    <col min="11525" max="11527" width="2.6640625" style="734" hidden="1" customWidth="1"/>
    <col min="11528" max="11537" width="12.6640625" style="734" hidden="1" customWidth="1"/>
    <col min="11538" max="11538" width="2.6640625" style="734" hidden="1" customWidth="1"/>
    <col min="11539" max="11779" width="0" style="734" hidden="1"/>
    <col min="11780" max="11780" width="3.33203125" style="734" hidden="1" customWidth="1"/>
    <col min="11781" max="11783" width="2.6640625" style="734" hidden="1" customWidth="1"/>
    <col min="11784" max="11793" width="12.6640625" style="734" hidden="1" customWidth="1"/>
    <col min="11794" max="11794" width="2.6640625" style="734" hidden="1" customWidth="1"/>
    <col min="11795" max="12035" width="0" style="734" hidden="1"/>
    <col min="12036" max="12036" width="3.33203125" style="734" hidden="1" customWidth="1"/>
    <col min="12037" max="12039" width="2.6640625" style="734" hidden="1" customWidth="1"/>
    <col min="12040" max="12049" width="12.6640625" style="734" hidden="1" customWidth="1"/>
    <col min="12050" max="12050" width="2.6640625" style="734" hidden="1" customWidth="1"/>
    <col min="12051" max="12291" width="0" style="734" hidden="1"/>
    <col min="12292" max="12292" width="3.33203125" style="734" hidden="1" customWidth="1"/>
    <col min="12293" max="12295" width="2.6640625" style="734" hidden="1" customWidth="1"/>
    <col min="12296" max="12305" width="12.6640625" style="734" hidden="1" customWidth="1"/>
    <col min="12306" max="12306" width="2.6640625" style="734" hidden="1" customWidth="1"/>
    <col min="12307" max="12547" width="0" style="734" hidden="1"/>
    <col min="12548" max="12548" width="3.33203125" style="734" hidden="1" customWidth="1"/>
    <col min="12549" max="12551" width="2.6640625" style="734" hidden="1" customWidth="1"/>
    <col min="12552" max="12561" width="12.6640625" style="734" hidden="1" customWidth="1"/>
    <col min="12562" max="12562" width="2.6640625" style="734" hidden="1" customWidth="1"/>
    <col min="12563" max="12803" width="0" style="734" hidden="1"/>
    <col min="12804" max="12804" width="3.33203125" style="734" hidden="1" customWidth="1"/>
    <col min="12805" max="12807" width="2.6640625" style="734" hidden="1" customWidth="1"/>
    <col min="12808" max="12817" width="12.6640625" style="734" hidden="1" customWidth="1"/>
    <col min="12818" max="12818" width="2.6640625" style="734" hidden="1" customWidth="1"/>
    <col min="12819" max="13059" width="0" style="734" hidden="1"/>
    <col min="13060" max="13060" width="3.33203125" style="734" hidden="1" customWidth="1"/>
    <col min="13061" max="13063" width="2.6640625" style="734" hidden="1" customWidth="1"/>
    <col min="13064" max="13073" width="12.6640625" style="734" hidden="1" customWidth="1"/>
    <col min="13074" max="13074" width="2.6640625" style="734" hidden="1" customWidth="1"/>
    <col min="13075" max="13315" width="0" style="734" hidden="1"/>
    <col min="13316" max="13316" width="3.33203125" style="734" hidden="1" customWidth="1"/>
    <col min="13317" max="13319" width="2.6640625" style="734" hidden="1" customWidth="1"/>
    <col min="13320" max="13329" width="12.6640625" style="734" hidden="1" customWidth="1"/>
    <col min="13330" max="13330" width="2.6640625" style="734" hidden="1" customWidth="1"/>
    <col min="13331" max="13571" width="0" style="734" hidden="1"/>
    <col min="13572" max="13572" width="3.33203125" style="734" hidden="1" customWidth="1"/>
    <col min="13573" max="13575" width="2.6640625" style="734" hidden="1" customWidth="1"/>
    <col min="13576" max="13585" width="12.6640625" style="734" hidden="1" customWidth="1"/>
    <col min="13586" max="13586" width="2.6640625" style="734" hidden="1" customWidth="1"/>
    <col min="13587" max="13827" width="0" style="734" hidden="1"/>
    <col min="13828" max="13828" width="3.33203125" style="734" hidden="1" customWidth="1"/>
    <col min="13829" max="13831" width="2.6640625" style="734" hidden="1" customWidth="1"/>
    <col min="13832" max="13841" width="12.6640625" style="734" hidden="1" customWidth="1"/>
    <col min="13842" max="13842" width="2.6640625" style="734" hidden="1" customWidth="1"/>
    <col min="13843" max="14083" width="0" style="734" hidden="1"/>
    <col min="14084" max="14084" width="3.33203125" style="734" hidden="1" customWidth="1"/>
    <col min="14085" max="14087" width="2.6640625" style="734" hidden="1" customWidth="1"/>
    <col min="14088" max="14097" width="12.6640625" style="734" hidden="1" customWidth="1"/>
    <col min="14098" max="14098" width="2.6640625" style="734" hidden="1" customWidth="1"/>
    <col min="14099" max="14339" width="0" style="734" hidden="1"/>
    <col min="14340" max="14340" width="3.33203125" style="734" hidden="1" customWidth="1"/>
    <col min="14341" max="14343" width="2.6640625" style="734" hidden="1" customWidth="1"/>
    <col min="14344" max="14353" width="12.6640625" style="734" hidden="1" customWidth="1"/>
    <col min="14354" max="14354" width="2.6640625" style="734" hidden="1" customWidth="1"/>
    <col min="14355" max="14595" width="0" style="734" hidden="1"/>
    <col min="14596" max="14596" width="3.33203125" style="734" hidden="1" customWidth="1"/>
    <col min="14597" max="14599" width="2.6640625" style="734" hidden="1" customWidth="1"/>
    <col min="14600" max="14609" width="12.6640625" style="734" hidden="1" customWidth="1"/>
    <col min="14610" max="14610" width="2.6640625" style="734" hidden="1" customWidth="1"/>
    <col min="14611" max="14851" width="0" style="734" hidden="1"/>
    <col min="14852" max="14852" width="3.33203125" style="734" hidden="1" customWidth="1"/>
    <col min="14853" max="14855" width="2.6640625" style="734" hidden="1" customWidth="1"/>
    <col min="14856" max="14865" width="12.6640625" style="734" hidden="1" customWidth="1"/>
    <col min="14866" max="14866" width="2.6640625" style="734" hidden="1" customWidth="1"/>
    <col min="14867" max="15107" width="0" style="734" hidden="1"/>
    <col min="15108" max="15108" width="3.33203125" style="734" hidden="1" customWidth="1"/>
    <col min="15109" max="15111" width="2.6640625" style="734" hidden="1" customWidth="1"/>
    <col min="15112" max="15121" width="12.6640625" style="734" hidden="1" customWidth="1"/>
    <col min="15122" max="15122" width="2.6640625" style="734" hidden="1" customWidth="1"/>
    <col min="15123" max="15363" width="0" style="734" hidden="1"/>
    <col min="15364" max="15364" width="3.33203125" style="734" hidden="1" customWidth="1"/>
    <col min="15365" max="15367" width="2.6640625" style="734" hidden="1" customWidth="1"/>
    <col min="15368" max="15377" width="12.6640625" style="734" hidden="1" customWidth="1"/>
    <col min="15378" max="15378" width="2.6640625" style="734" hidden="1" customWidth="1"/>
    <col min="15379" max="15619" width="0" style="734" hidden="1"/>
    <col min="15620" max="15620" width="3.33203125" style="734" hidden="1" customWidth="1"/>
    <col min="15621" max="15623" width="2.6640625" style="734" hidden="1" customWidth="1"/>
    <col min="15624" max="15633" width="12.6640625" style="734" hidden="1" customWidth="1"/>
    <col min="15634" max="15634" width="2.6640625" style="734" hidden="1" customWidth="1"/>
    <col min="15635" max="15875" width="0" style="734" hidden="1"/>
    <col min="15876" max="15876" width="3.33203125" style="734" hidden="1" customWidth="1"/>
    <col min="15877" max="15879" width="2.6640625" style="734" hidden="1" customWidth="1"/>
    <col min="15880" max="15889" width="12.6640625" style="734" hidden="1" customWidth="1"/>
    <col min="15890" max="15890" width="2.6640625" style="734" hidden="1" customWidth="1"/>
    <col min="15891" max="16131" width="0" style="734" hidden="1"/>
    <col min="16132" max="16132" width="3.33203125" style="734" hidden="1" customWidth="1"/>
    <col min="16133" max="16135" width="2.6640625" style="734" hidden="1" customWidth="1"/>
    <col min="16136" max="16145" width="12.6640625" style="734" hidden="1" customWidth="1"/>
    <col min="16146" max="16146" width="2.6640625" style="734" hidden="1" customWidth="1"/>
    <col min="16147" max="16384" width="0" style="734" hidden="1"/>
  </cols>
  <sheetData>
    <row r="1" spans="1:21" s="707" customFormat="1" ht="13.2" x14ac:dyDescent="0.25">
      <c r="A1" s="1465" t="s">
        <v>639</v>
      </c>
    </row>
    <row r="2" spans="1:21" s="707" customFormat="1" ht="13.2" x14ac:dyDescent="0.25">
      <c r="A2" s="708"/>
    </row>
    <row r="3" spans="1:21" s="707" customFormat="1" ht="24.6" x14ac:dyDescent="0.4">
      <c r="A3" s="708"/>
      <c r="B3" s="709" t="s">
        <v>275</v>
      </c>
      <c r="D3" s="709"/>
      <c r="E3" s="709"/>
      <c r="F3" s="709"/>
    </row>
    <row r="4" spans="1:21" s="707" customFormat="1" ht="24.6" x14ac:dyDescent="0.4">
      <c r="A4" s="708"/>
      <c r="B4" s="709" t="s">
        <v>633</v>
      </c>
    </row>
    <row r="5" spans="1:21" s="707" customFormat="1" ht="24.6" x14ac:dyDescent="0.4">
      <c r="A5" s="708"/>
      <c r="B5" s="1067"/>
    </row>
    <row r="6" spans="1:21" s="707" customFormat="1" ht="14.4" x14ac:dyDescent="0.3">
      <c r="A6" s="708"/>
      <c r="C6" s="1106" t="s">
        <v>497</v>
      </c>
      <c r="D6" s="1107"/>
      <c r="E6" s="1107"/>
      <c r="F6" s="1107"/>
      <c r="G6" s="1107"/>
      <c r="H6" s="1485" t="s">
        <v>638</v>
      </c>
      <c r="I6" s="1486"/>
    </row>
    <row r="7" spans="1:21" s="707" customFormat="1" ht="14.4" x14ac:dyDescent="0.3">
      <c r="A7" s="708"/>
      <c r="C7" s="1108" t="s">
        <v>498</v>
      </c>
      <c r="H7" s="1484" t="s">
        <v>636</v>
      </c>
      <c r="I7" s="1483"/>
    </row>
    <row r="8" spans="1:21" s="707" customFormat="1" ht="14.4" x14ac:dyDescent="0.3">
      <c r="A8" s="708"/>
      <c r="C8" s="1108" t="s">
        <v>499</v>
      </c>
      <c r="H8" s="1482">
        <v>42644</v>
      </c>
      <c r="I8" s="1483"/>
    </row>
    <row r="9" spans="1:21" s="707" customFormat="1" ht="14.4" x14ac:dyDescent="0.3">
      <c r="A9" s="708"/>
      <c r="C9" s="1109" t="s">
        <v>500</v>
      </c>
      <c r="D9" s="1110"/>
      <c r="E9" s="1110"/>
      <c r="F9" s="1110"/>
      <c r="G9" s="1110"/>
      <c r="H9" s="1487"/>
      <c r="I9" s="1488"/>
    </row>
    <row r="10" spans="1:21" s="707" customFormat="1" ht="13.2" x14ac:dyDescent="0.25">
      <c r="A10" s="708"/>
    </row>
    <row r="11" spans="1:21" s="711" customFormat="1" ht="12.75" customHeight="1" x14ac:dyDescent="0.25">
      <c r="A11" s="710"/>
      <c r="B11" s="707"/>
      <c r="G11" s="712"/>
      <c r="H11" s="712"/>
      <c r="I11" s="712"/>
      <c r="J11" s="712"/>
      <c r="K11" s="713"/>
      <c r="L11" s="713"/>
      <c r="M11" s="713"/>
      <c r="N11" s="713"/>
      <c r="O11" s="713"/>
      <c r="P11" s="713"/>
      <c r="Q11" s="713"/>
      <c r="R11" s="714"/>
      <c r="S11" s="715"/>
      <c r="T11" s="707"/>
      <c r="U11" s="707"/>
    </row>
    <row r="12" spans="1:21" s="711" customFormat="1" ht="12.75" customHeight="1" x14ac:dyDescent="0.25">
      <c r="A12" s="716"/>
      <c r="B12" s="716" t="s">
        <v>288</v>
      </c>
      <c r="C12" s="717"/>
      <c r="D12" s="718"/>
      <c r="E12" s="718"/>
      <c r="F12" s="718"/>
      <c r="G12" s="719"/>
      <c r="H12" s="719"/>
      <c r="I12" s="719"/>
      <c r="J12" s="719"/>
      <c r="K12" s="719"/>
      <c r="L12" s="719"/>
      <c r="M12" s="719"/>
      <c r="N12" s="719"/>
      <c r="O12" s="719"/>
      <c r="P12" s="719"/>
      <c r="Q12" s="719"/>
      <c r="R12" s="714"/>
      <c r="S12" s="715"/>
      <c r="T12" s="707"/>
      <c r="U12" s="707"/>
    </row>
    <row r="13" spans="1:21" s="711" customFormat="1" ht="12.75" customHeight="1" x14ac:dyDescent="0.25">
      <c r="A13" s="710"/>
      <c r="B13" s="707"/>
      <c r="G13" s="712"/>
      <c r="H13" s="712"/>
      <c r="I13" s="712"/>
      <c r="J13" s="712"/>
      <c r="K13" s="713"/>
      <c r="L13" s="713"/>
      <c r="M13" s="713"/>
      <c r="N13" s="713"/>
      <c r="O13" s="713"/>
      <c r="P13" s="713"/>
      <c r="Q13" s="713"/>
      <c r="R13" s="714"/>
      <c r="S13" s="715"/>
      <c r="T13" s="707"/>
      <c r="U13" s="707"/>
    </row>
    <row r="14" spans="1:21" s="711" customFormat="1" ht="12.75" customHeight="1" x14ac:dyDescent="0.25">
      <c r="A14" s="710"/>
      <c r="B14" s="707" t="s">
        <v>355</v>
      </c>
      <c r="G14" s="712"/>
      <c r="H14" s="712"/>
      <c r="I14" s="712"/>
      <c r="J14" s="712"/>
      <c r="K14" s="713"/>
      <c r="L14" s="713"/>
      <c r="M14" s="713"/>
      <c r="N14" s="713"/>
      <c r="O14" s="713"/>
      <c r="P14" s="713"/>
      <c r="Q14" s="713"/>
      <c r="R14" s="714"/>
      <c r="S14" s="715"/>
      <c r="T14" s="707"/>
      <c r="U14" s="707"/>
    </row>
    <row r="15" spans="1:21" s="711" customFormat="1" ht="12.75" customHeight="1" x14ac:dyDescent="0.25">
      <c r="A15" s="710"/>
      <c r="B15" s="707" t="s">
        <v>510</v>
      </c>
      <c r="G15" s="712"/>
      <c r="H15" s="712"/>
      <c r="I15" s="712"/>
      <c r="J15" s="712"/>
      <c r="K15" s="713"/>
      <c r="L15" s="713"/>
      <c r="M15" s="713"/>
      <c r="N15" s="713"/>
      <c r="O15" s="713"/>
      <c r="P15" s="713"/>
      <c r="Q15" s="713"/>
      <c r="R15" s="714"/>
      <c r="S15" s="715"/>
      <c r="T15" s="707"/>
      <c r="U15" s="707"/>
    </row>
    <row r="16" spans="1:21" s="711" customFormat="1" ht="12.75" customHeight="1" x14ac:dyDescent="0.25">
      <c r="A16" s="710"/>
      <c r="B16" s="707" t="s">
        <v>511</v>
      </c>
      <c r="G16" s="712"/>
      <c r="H16" s="712"/>
      <c r="I16" s="712"/>
      <c r="J16" s="712"/>
      <c r="K16" s="713"/>
      <c r="L16" s="713"/>
      <c r="M16" s="713"/>
      <c r="N16" s="713"/>
      <c r="O16" s="713"/>
      <c r="P16" s="713"/>
      <c r="Q16" s="713"/>
      <c r="R16" s="714"/>
      <c r="S16" s="715"/>
      <c r="T16" s="707"/>
      <c r="U16" s="707"/>
    </row>
    <row r="17" spans="1:21" s="711" customFormat="1" ht="12.75" customHeight="1" x14ac:dyDescent="0.25">
      <c r="A17" s="710"/>
      <c r="B17" s="707"/>
      <c r="G17" s="712"/>
      <c r="H17" s="712"/>
      <c r="I17" s="712"/>
      <c r="J17" s="712"/>
      <c r="K17" s="713"/>
      <c r="L17" s="713"/>
      <c r="M17" s="713"/>
      <c r="N17" s="713"/>
      <c r="O17" s="713"/>
      <c r="P17" s="713"/>
      <c r="Q17" s="713"/>
      <c r="R17" s="714"/>
      <c r="S17" s="715"/>
      <c r="T17" s="707"/>
      <c r="U17" s="707"/>
    </row>
    <row r="18" spans="1:21" s="711" customFormat="1" ht="12.75" customHeight="1" x14ac:dyDescent="0.25">
      <c r="A18" s="710"/>
      <c r="B18" s="707" t="s">
        <v>310</v>
      </c>
      <c r="G18" s="712"/>
      <c r="H18" s="712"/>
      <c r="I18" s="712"/>
      <c r="J18" s="712"/>
      <c r="K18" s="713"/>
      <c r="L18" s="713"/>
      <c r="M18" s="713"/>
      <c r="N18" s="713"/>
      <c r="O18" s="713"/>
      <c r="P18" s="713"/>
      <c r="Q18" s="713"/>
      <c r="R18" s="714"/>
      <c r="S18" s="715"/>
      <c r="T18" s="707"/>
      <c r="U18" s="707"/>
    </row>
    <row r="19" spans="1:21" s="711" customFormat="1" ht="12.75" customHeight="1" x14ac:dyDescent="0.25">
      <c r="A19" s="710"/>
      <c r="B19" s="1137" t="s">
        <v>502</v>
      </c>
      <c r="G19" s="712"/>
      <c r="H19" s="712"/>
      <c r="I19" s="712"/>
      <c r="J19" s="712"/>
      <c r="K19" s="713"/>
      <c r="L19" s="713"/>
      <c r="M19" s="713"/>
      <c r="N19" s="713"/>
      <c r="O19" s="713"/>
      <c r="P19" s="713"/>
      <c r="Q19" s="713"/>
      <c r="R19" s="714"/>
      <c r="S19" s="715"/>
      <c r="T19" s="707"/>
      <c r="U19" s="707"/>
    </row>
    <row r="20" spans="1:21" s="711" customFormat="1" ht="12.75" customHeight="1" x14ac:dyDescent="0.25">
      <c r="A20" s="710"/>
      <c r="B20" s="737"/>
      <c r="G20" s="712"/>
      <c r="H20" s="712"/>
      <c r="I20" s="712"/>
      <c r="J20" s="712"/>
      <c r="K20" s="713"/>
      <c r="L20" s="713"/>
      <c r="M20" s="713"/>
      <c r="N20" s="713"/>
      <c r="O20" s="713"/>
      <c r="P20" s="713"/>
      <c r="Q20" s="713"/>
      <c r="R20" s="714"/>
      <c r="S20" s="715"/>
      <c r="T20" s="707"/>
      <c r="U20" s="707"/>
    </row>
    <row r="21" spans="1:21" s="707" customFormat="1" ht="12.75" customHeight="1" x14ac:dyDescent="0.25">
      <c r="A21" s="716"/>
      <c r="B21" s="716" t="s">
        <v>280</v>
      </c>
      <c r="C21" s="717"/>
      <c r="D21" s="718"/>
      <c r="E21" s="718"/>
      <c r="F21" s="718"/>
      <c r="G21" s="719"/>
      <c r="H21" s="719"/>
      <c r="I21" s="719"/>
      <c r="J21" s="719"/>
      <c r="K21" s="719"/>
      <c r="L21" s="719"/>
      <c r="M21" s="719"/>
      <c r="N21" s="719"/>
      <c r="O21" s="719"/>
      <c r="P21" s="719"/>
      <c r="Q21" s="719"/>
      <c r="R21" s="720"/>
    </row>
    <row r="22" spans="1:21" s="707" customFormat="1" ht="13.2" x14ac:dyDescent="0.25">
      <c r="A22" s="708"/>
      <c r="C22" s="711"/>
      <c r="G22" s="721"/>
      <c r="H22" s="721"/>
      <c r="I22" s="721"/>
      <c r="J22" s="721"/>
      <c r="K22" s="722"/>
      <c r="L22" s="722"/>
      <c r="M22" s="722"/>
      <c r="N22" s="722"/>
      <c r="O22" s="722"/>
      <c r="P22" s="722"/>
      <c r="Q22" s="722"/>
      <c r="R22" s="720"/>
    </row>
    <row r="23" spans="1:21" s="707" customFormat="1" ht="13.2" x14ac:dyDescent="0.25">
      <c r="A23" s="708"/>
      <c r="B23" s="707" t="s">
        <v>501</v>
      </c>
      <c r="C23" s="711"/>
      <c r="D23" s="711"/>
      <c r="E23" s="711"/>
      <c r="F23" s="711"/>
      <c r="G23" s="721"/>
      <c r="H23" s="721"/>
      <c r="I23" s="721"/>
      <c r="J23" s="721"/>
      <c r="K23" s="723"/>
      <c r="L23" s="723"/>
      <c r="M23" s="723"/>
      <c r="N23" s="723"/>
      <c r="O23" s="723"/>
      <c r="P23" s="723"/>
      <c r="Q23" s="723"/>
    </row>
    <row r="24" spans="1:21" s="707" customFormat="1" ht="13.2" x14ac:dyDescent="0.25">
      <c r="A24" s="708"/>
      <c r="G24" s="712"/>
      <c r="H24" s="712"/>
      <c r="I24" s="712"/>
      <c r="J24" s="712"/>
    </row>
    <row r="25" spans="1:21" s="707" customFormat="1" ht="13.2" x14ac:dyDescent="0.25">
      <c r="A25" s="708"/>
      <c r="B25" s="711" t="s">
        <v>269</v>
      </c>
      <c r="D25" s="711" t="s">
        <v>278</v>
      </c>
      <c r="E25" s="711"/>
      <c r="F25" s="711"/>
      <c r="G25" s="712"/>
      <c r="H25" s="712"/>
      <c r="I25" s="712"/>
      <c r="J25" s="729"/>
    </row>
    <row r="26" spans="1:21" s="707" customFormat="1" ht="13.2" x14ac:dyDescent="0.25">
      <c r="A26" s="708"/>
      <c r="B26" s="711" t="s">
        <v>270</v>
      </c>
      <c r="D26" s="711" t="s">
        <v>277</v>
      </c>
      <c r="E26" s="711"/>
      <c r="F26" s="711"/>
      <c r="G26" s="712"/>
      <c r="H26" s="712"/>
      <c r="I26" s="712"/>
      <c r="J26" s="712"/>
    </row>
    <row r="27" spans="1:21" s="707" customFormat="1" ht="13.2" x14ac:dyDescent="0.25">
      <c r="A27" s="708"/>
      <c r="B27" s="711" t="s">
        <v>271</v>
      </c>
      <c r="D27" s="711" t="s">
        <v>458</v>
      </c>
      <c r="E27" s="711"/>
      <c r="F27" s="711"/>
      <c r="G27" s="712"/>
      <c r="H27" s="712"/>
      <c r="I27" s="712"/>
      <c r="J27" s="712"/>
    </row>
    <row r="28" spans="1:21" s="707" customFormat="1" ht="13.2" x14ac:dyDescent="0.25">
      <c r="A28" s="708"/>
      <c r="B28" s="711" t="s">
        <v>272</v>
      </c>
      <c r="D28" s="711" t="s">
        <v>279</v>
      </c>
      <c r="E28" s="711"/>
      <c r="F28" s="711"/>
      <c r="G28" s="712"/>
      <c r="H28" s="712"/>
      <c r="I28" s="712"/>
      <c r="J28" s="712"/>
    </row>
    <row r="29" spans="1:21" s="707" customFormat="1" ht="13.2" x14ac:dyDescent="0.25">
      <c r="A29" s="708"/>
      <c r="B29" s="711" t="s">
        <v>273</v>
      </c>
      <c r="D29" s="711" t="s">
        <v>459</v>
      </c>
      <c r="E29" s="711"/>
      <c r="F29" s="711"/>
      <c r="G29" s="712"/>
      <c r="H29" s="712"/>
      <c r="I29" s="712"/>
      <c r="J29" s="712"/>
    </row>
    <row r="30" spans="1:21" s="707" customFormat="1" ht="13.2" x14ac:dyDescent="0.25">
      <c r="A30" s="708"/>
      <c r="B30" s="711" t="s">
        <v>274</v>
      </c>
      <c r="D30" s="711" t="s">
        <v>606</v>
      </c>
      <c r="E30" s="711"/>
      <c r="F30" s="711"/>
      <c r="G30" s="712"/>
      <c r="H30" s="712"/>
      <c r="I30" s="712"/>
      <c r="J30" s="712"/>
    </row>
    <row r="31" spans="1:21" s="707" customFormat="1" ht="13.2" x14ac:dyDescent="0.25">
      <c r="A31" s="708"/>
      <c r="B31" s="711" t="s">
        <v>514</v>
      </c>
      <c r="D31" s="711" t="s">
        <v>289</v>
      </c>
      <c r="E31" s="711"/>
      <c r="F31" s="711"/>
      <c r="G31" s="712"/>
      <c r="H31" s="712"/>
      <c r="I31" s="712"/>
      <c r="J31" s="712"/>
    </row>
    <row r="32" spans="1:21" s="707" customFormat="1" ht="13.2" x14ac:dyDescent="0.25">
      <c r="A32" s="708"/>
      <c r="B32" s="711" t="s">
        <v>349</v>
      </c>
      <c r="D32" s="711" t="s">
        <v>339</v>
      </c>
      <c r="E32" s="711"/>
      <c r="F32" s="711"/>
      <c r="G32" s="712"/>
      <c r="H32" s="712"/>
      <c r="I32" s="712"/>
      <c r="J32" s="712"/>
    </row>
    <row r="33" spans="1:18" s="707" customFormat="1" ht="13.2" x14ac:dyDescent="0.25">
      <c r="A33" s="708"/>
      <c r="B33" s="711" t="s">
        <v>457</v>
      </c>
      <c r="D33" s="711" t="s">
        <v>356</v>
      </c>
      <c r="E33" s="711"/>
      <c r="F33" s="711"/>
      <c r="G33" s="712"/>
      <c r="H33" s="712"/>
      <c r="I33" s="712"/>
      <c r="J33" s="712"/>
    </row>
    <row r="34" spans="1:18" s="707" customFormat="1" ht="13.2" x14ac:dyDescent="0.25">
      <c r="A34" s="708"/>
      <c r="E34" s="711"/>
      <c r="F34" s="711"/>
      <c r="G34" s="712"/>
      <c r="H34" s="712"/>
      <c r="I34" s="712"/>
      <c r="J34" s="712"/>
    </row>
    <row r="35" spans="1:18" s="707" customFormat="1" ht="12.75" customHeight="1" x14ac:dyDescent="0.25">
      <c r="A35" s="708"/>
      <c r="G35" s="712"/>
      <c r="H35" s="712"/>
      <c r="I35" s="712"/>
      <c r="J35" s="712"/>
    </row>
    <row r="36" spans="1:18" s="707" customFormat="1" ht="13.2" x14ac:dyDescent="0.25">
      <c r="A36" s="716"/>
      <c r="B36" s="716" t="s">
        <v>281</v>
      </c>
      <c r="C36" s="717"/>
      <c r="D36" s="718"/>
      <c r="E36" s="718"/>
      <c r="F36" s="718"/>
      <c r="G36" s="719"/>
      <c r="H36" s="719"/>
      <c r="I36" s="719"/>
      <c r="J36" s="719"/>
      <c r="K36" s="719"/>
      <c r="L36" s="719"/>
      <c r="M36" s="719"/>
      <c r="N36" s="719"/>
      <c r="O36" s="719"/>
      <c r="P36" s="719"/>
      <c r="Q36" s="719"/>
    </row>
    <row r="37" spans="1:18" s="707" customFormat="1" ht="13.2" x14ac:dyDescent="0.25">
      <c r="A37" s="708"/>
      <c r="G37" s="712"/>
      <c r="H37" s="712"/>
      <c r="I37" s="712"/>
      <c r="J37" s="712"/>
      <c r="K37" s="720"/>
      <c r="L37" s="720"/>
      <c r="M37" s="720"/>
      <c r="N37" s="720"/>
      <c r="O37" s="720"/>
      <c r="P37" s="720"/>
      <c r="Q37" s="720"/>
    </row>
    <row r="38" spans="1:18" s="707" customFormat="1" ht="13.2" x14ac:dyDescent="0.25">
      <c r="A38" s="708"/>
      <c r="B38" s="707" t="s">
        <v>344</v>
      </c>
      <c r="G38" s="712"/>
      <c r="H38" s="712"/>
      <c r="I38" s="712"/>
      <c r="J38" s="712"/>
      <c r="K38" s="720"/>
      <c r="L38" s="720"/>
      <c r="M38" s="720"/>
      <c r="N38" s="720"/>
      <c r="O38" s="720"/>
      <c r="P38" s="720"/>
      <c r="Q38" s="720"/>
    </row>
    <row r="39" spans="1:18" s="707" customFormat="1" ht="13.2" x14ac:dyDescent="0.25">
      <c r="A39" s="708"/>
      <c r="G39" s="712"/>
      <c r="H39" s="712"/>
      <c r="I39" s="712"/>
      <c r="J39" s="712"/>
      <c r="K39" s="720"/>
      <c r="L39" s="720"/>
      <c r="M39" s="720"/>
      <c r="N39" s="720"/>
      <c r="O39" s="720"/>
      <c r="P39" s="720"/>
      <c r="Q39" s="720"/>
    </row>
    <row r="40" spans="1:18" s="707" customFormat="1" ht="13.2" x14ac:dyDescent="0.25">
      <c r="A40" s="708"/>
      <c r="B40" s="711" t="s">
        <v>314</v>
      </c>
      <c r="G40" s="712"/>
      <c r="H40" s="712"/>
      <c r="I40" s="712"/>
      <c r="J40" s="712"/>
      <c r="K40" s="720"/>
      <c r="L40" s="720"/>
      <c r="M40" s="720"/>
      <c r="N40" s="720"/>
      <c r="O40" s="720"/>
      <c r="P40" s="720"/>
      <c r="Q40" s="720"/>
    </row>
    <row r="41" spans="1:18" s="707" customFormat="1" ht="13.2" x14ac:dyDescent="0.25">
      <c r="A41" s="708"/>
      <c r="B41" s="707" t="s">
        <v>283</v>
      </c>
      <c r="G41" s="712"/>
      <c r="H41" s="712"/>
      <c r="I41" s="712"/>
      <c r="J41" s="712"/>
      <c r="K41" s="720"/>
      <c r="L41" s="720"/>
      <c r="M41" s="720"/>
      <c r="N41" s="720"/>
      <c r="O41" s="720"/>
      <c r="P41" s="720"/>
      <c r="Q41" s="720"/>
    </row>
    <row r="42" spans="1:18" s="707" customFormat="1" ht="13.2" x14ac:dyDescent="0.25">
      <c r="A42" s="708"/>
      <c r="B42" s="707" t="s">
        <v>357</v>
      </c>
      <c r="G42" s="712"/>
      <c r="H42" s="712"/>
      <c r="I42" s="712"/>
      <c r="J42" s="712"/>
      <c r="K42" s="720"/>
      <c r="L42" s="720"/>
      <c r="M42" s="725">
        <v>0</v>
      </c>
      <c r="N42" s="720"/>
      <c r="O42" s="720"/>
      <c r="Q42" s="720"/>
    </row>
    <row r="43" spans="1:18" s="707" customFormat="1" ht="13.2" x14ac:dyDescent="0.25">
      <c r="A43" s="708"/>
      <c r="B43" s="1478" t="s">
        <v>634</v>
      </c>
      <c r="C43" s="1147"/>
      <c r="D43" s="1147"/>
      <c r="E43" s="1147"/>
      <c r="F43" s="1147"/>
      <c r="G43" s="1157"/>
      <c r="H43" s="1157"/>
      <c r="I43" s="1157"/>
      <c r="J43" s="1157"/>
      <c r="K43" s="1479"/>
      <c r="L43" s="1479"/>
      <c r="M43" s="1480">
        <v>0</v>
      </c>
      <c r="N43" s="1472"/>
      <c r="O43" s="1472"/>
      <c r="P43" s="1147"/>
      <c r="Q43" s="1472"/>
      <c r="R43" s="1147"/>
    </row>
    <row r="44" spans="1:18" s="707" customFormat="1" ht="13.2" x14ac:dyDescent="0.25">
      <c r="A44" s="708"/>
      <c r="B44" s="736" t="s">
        <v>358</v>
      </c>
      <c r="G44" s="712"/>
      <c r="H44" s="712"/>
      <c r="I44" s="712"/>
      <c r="J44" s="712"/>
      <c r="K44" s="720"/>
      <c r="L44" s="720"/>
      <c r="M44" s="735"/>
      <c r="N44" s="720"/>
      <c r="O44" s="720"/>
      <c r="Q44" s="720"/>
    </row>
    <row r="45" spans="1:18" s="707" customFormat="1" ht="13.2" x14ac:dyDescent="0.25">
      <c r="A45" s="708"/>
      <c r="G45" s="712"/>
      <c r="H45" s="712"/>
      <c r="I45" s="712"/>
      <c r="J45" s="712"/>
      <c r="K45" s="720"/>
      <c r="L45" s="720"/>
      <c r="M45" s="735"/>
      <c r="N45" s="720"/>
      <c r="O45" s="720"/>
      <c r="Q45" s="720"/>
    </row>
    <row r="46" spans="1:18" s="707" customFormat="1" ht="13.2" x14ac:dyDescent="0.25">
      <c r="A46" s="708"/>
      <c r="B46" s="711" t="s">
        <v>315</v>
      </c>
      <c r="G46" s="712"/>
      <c r="H46" s="712"/>
      <c r="I46" s="712"/>
      <c r="J46" s="712"/>
      <c r="K46" s="720"/>
      <c r="L46" s="720"/>
      <c r="M46" s="720"/>
      <c r="N46" s="720"/>
      <c r="O46" s="720"/>
      <c r="P46" s="720"/>
      <c r="Q46" s="720"/>
    </row>
    <row r="47" spans="1:18" s="707" customFormat="1" ht="13.2" x14ac:dyDescent="0.25">
      <c r="A47" s="708"/>
      <c r="B47" s="707" t="s">
        <v>284</v>
      </c>
      <c r="G47" s="712"/>
      <c r="H47" s="712"/>
      <c r="I47" s="712"/>
      <c r="J47" s="712"/>
      <c r="K47" s="720"/>
      <c r="L47" s="720"/>
      <c r="M47" s="720"/>
      <c r="N47" s="720"/>
      <c r="O47" s="720"/>
      <c r="P47" s="720"/>
      <c r="Q47" s="720"/>
    </row>
    <row r="48" spans="1:18" s="707" customFormat="1" ht="13.2" x14ac:dyDescent="0.25">
      <c r="A48" s="708"/>
      <c r="B48" s="707" t="s">
        <v>350</v>
      </c>
      <c r="G48" s="712"/>
      <c r="H48" s="712"/>
      <c r="I48" s="712"/>
      <c r="J48" s="712"/>
      <c r="K48" s="720"/>
      <c r="L48" s="720"/>
      <c r="M48" s="720"/>
      <c r="N48" s="720"/>
      <c r="O48" s="720"/>
      <c r="P48" s="720"/>
      <c r="Q48" s="720"/>
    </row>
    <row r="49" spans="1:17" s="707" customFormat="1" ht="13.2" x14ac:dyDescent="0.25">
      <c r="A49" s="708"/>
      <c r="G49" s="712"/>
      <c r="H49" s="712"/>
      <c r="I49" s="712"/>
      <c r="J49" s="712"/>
      <c r="K49" s="726"/>
      <c r="L49" s="726"/>
      <c r="M49" s="726"/>
      <c r="N49" s="726"/>
      <c r="O49" s="726"/>
      <c r="P49" s="726"/>
      <c r="Q49" s="726"/>
    </row>
    <row r="50" spans="1:17" s="707" customFormat="1" ht="13.2" x14ac:dyDescent="0.25">
      <c r="A50" s="708"/>
      <c r="B50" s="711" t="s">
        <v>316</v>
      </c>
      <c r="G50" s="712"/>
      <c r="H50" s="712"/>
      <c r="I50" s="712"/>
      <c r="J50" s="712"/>
      <c r="K50" s="726"/>
      <c r="L50" s="726"/>
      <c r="M50" s="726"/>
      <c r="N50" s="726"/>
      <c r="O50" s="726"/>
      <c r="P50" s="726"/>
      <c r="Q50" s="726"/>
    </row>
    <row r="51" spans="1:17" s="707" customFormat="1" ht="13.2" x14ac:dyDescent="0.25">
      <c r="A51" s="708"/>
      <c r="B51" s="707" t="s">
        <v>359</v>
      </c>
      <c r="G51" s="712"/>
      <c r="H51" s="712"/>
      <c r="I51" s="712"/>
      <c r="J51" s="712"/>
      <c r="K51" s="726"/>
      <c r="L51" s="726"/>
      <c r="M51" s="726"/>
      <c r="N51" s="726"/>
      <c r="O51" s="726"/>
      <c r="P51" s="726"/>
      <c r="Q51" s="726"/>
    </row>
    <row r="52" spans="1:17" s="707" customFormat="1" ht="13.2" x14ac:dyDescent="0.25">
      <c r="A52" s="708"/>
      <c r="B52" s="707" t="s">
        <v>360</v>
      </c>
      <c r="G52" s="712"/>
      <c r="H52" s="712"/>
      <c r="I52" s="712"/>
      <c r="J52" s="712"/>
      <c r="K52" s="726"/>
      <c r="L52" s="726"/>
      <c r="M52" s="726"/>
      <c r="N52" s="726"/>
      <c r="O52" s="726"/>
      <c r="P52" s="726"/>
      <c r="Q52" s="726"/>
    </row>
    <row r="53" spans="1:17" s="707" customFormat="1" ht="13.2" x14ac:dyDescent="0.25">
      <c r="A53" s="708"/>
      <c r="G53" s="712"/>
      <c r="H53" s="712"/>
      <c r="I53" s="712"/>
      <c r="J53" s="712"/>
      <c r="K53" s="726"/>
      <c r="L53" s="726"/>
      <c r="M53" s="726"/>
      <c r="N53" s="726"/>
      <c r="O53" s="726"/>
      <c r="P53" s="726"/>
      <c r="Q53" s="726"/>
    </row>
    <row r="54" spans="1:17" s="707" customFormat="1" ht="13.2" x14ac:dyDescent="0.25">
      <c r="A54" s="708"/>
      <c r="B54" s="711" t="s">
        <v>317</v>
      </c>
      <c r="G54" s="712"/>
      <c r="H54" s="712"/>
      <c r="I54" s="712"/>
      <c r="J54" s="712"/>
      <c r="K54" s="726"/>
      <c r="L54" s="726"/>
      <c r="M54" s="726"/>
      <c r="N54" s="726"/>
      <c r="O54" s="726"/>
      <c r="P54" s="726"/>
      <c r="Q54" s="726"/>
    </row>
    <row r="55" spans="1:17" s="707" customFormat="1" ht="13.2" x14ac:dyDescent="0.25">
      <c r="A55" s="708"/>
      <c r="B55" s="707" t="s">
        <v>361</v>
      </c>
      <c r="G55" s="712"/>
      <c r="H55" s="712"/>
      <c r="I55" s="712"/>
      <c r="J55" s="712"/>
      <c r="K55" s="727"/>
      <c r="L55" s="727"/>
      <c r="M55" s="727"/>
      <c r="N55" s="727"/>
      <c r="O55" s="727"/>
      <c r="P55" s="727"/>
      <c r="Q55" s="727"/>
    </row>
    <row r="56" spans="1:17" s="707" customFormat="1" ht="13.2" x14ac:dyDescent="0.25">
      <c r="A56" s="708"/>
      <c r="G56" s="712"/>
      <c r="H56" s="712"/>
      <c r="I56" s="712"/>
      <c r="J56" s="712"/>
      <c r="K56" s="727"/>
      <c r="L56" s="727"/>
      <c r="M56" s="727"/>
      <c r="N56" s="727"/>
      <c r="O56" s="727"/>
      <c r="P56" s="727"/>
      <c r="Q56" s="727"/>
    </row>
    <row r="57" spans="1:17" s="707" customFormat="1" ht="13.2" x14ac:dyDescent="0.25">
      <c r="A57" s="708"/>
      <c r="B57" s="711" t="s">
        <v>318</v>
      </c>
      <c r="G57" s="712"/>
      <c r="H57" s="712"/>
      <c r="I57" s="712"/>
      <c r="J57" s="712"/>
      <c r="K57" s="727"/>
      <c r="L57" s="727"/>
      <c r="M57" s="727"/>
      <c r="N57" s="727"/>
      <c r="O57" s="727"/>
      <c r="P57" s="727"/>
      <c r="Q57" s="727"/>
    </row>
    <row r="58" spans="1:17" s="707" customFormat="1" ht="13.2" x14ac:dyDescent="0.25">
      <c r="A58" s="708"/>
      <c r="B58" s="707" t="s">
        <v>362</v>
      </c>
      <c r="G58" s="712"/>
      <c r="H58" s="712"/>
      <c r="I58" s="712"/>
      <c r="J58" s="712"/>
      <c r="K58" s="727"/>
      <c r="L58" s="727"/>
      <c r="M58" s="727"/>
      <c r="N58" s="727"/>
      <c r="O58" s="727"/>
      <c r="P58" s="727"/>
      <c r="Q58" s="727"/>
    </row>
    <row r="59" spans="1:17" s="707" customFormat="1" ht="13.2" x14ac:dyDescent="0.25">
      <c r="A59" s="708"/>
      <c r="B59" s="707" t="s">
        <v>342</v>
      </c>
      <c r="G59" s="712"/>
      <c r="H59" s="712"/>
      <c r="I59" s="712"/>
      <c r="J59" s="712"/>
      <c r="K59" s="727"/>
      <c r="L59" s="727"/>
      <c r="M59" s="727"/>
      <c r="N59" s="727"/>
      <c r="O59" s="727"/>
      <c r="P59" s="727"/>
      <c r="Q59" s="727"/>
    </row>
    <row r="60" spans="1:17" s="707" customFormat="1" ht="13.2" x14ac:dyDescent="0.25">
      <c r="A60" s="708"/>
      <c r="B60" s="707" t="s">
        <v>343</v>
      </c>
      <c r="G60" s="712"/>
      <c r="H60" s="712"/>
      <c r="I60" s="712"/>
      <c r="J60" s="712"/>
      <c r="K60" s="727"/>
      <c r="L60" s="727"/>
      <c r="M60" s="727"/>
      <c r="N60" s="727"/>
      <c r="O60" s="727"/>
      <c r="P60" s="727"/>
      <c r="Q60" s="727"/>
    </row>
    <row r="61" spans="1:17" s="707" customFormat="1" ht="13.2" x14ac:dyDescent="0.25">
      <c r="A61" s="708"/>
      <c r="G61" s="712"/>
      <c r="H61" s="712"/>
      <c r="I61" s="712"/>
      <c r="J61" s="712"/>
      <c r="K61" s="727"/>
      <c r="L61" s="727"/>
      <c r="M61" s="727"/>
      <c r="N61" s="727"/>
      <c r="O61" s="727"/>
      <c r="P61" s="727"/>
      <c r="Q61" s="727"/>
    </row>
    <row r="62" spans="1:17" s="707" customFormat="1" ht="13.2" x14ac:dyDescent="0.25">
      <c r="A62" s="716"/>
      <c r="B62" s="716" t="s">
        <v>282</v>
      </c>
      <c r="C62" s="717"/>
      <c r="D62" s="718"/>
      <c r="E62" s="718"/>
      <c r="F62" s="718"/>
      <c r="G62" s="719"/>
      <c r="H62" s="719"/>
      <c r="I62" s="719"/>
      <c r="J62" s="719"/>
      <c r="K62" s="719"/>
      <c r="L62" s="719"/>
      <c r="M62" s="719"/>
      <c r="N62" s="719"/>
      <c r="O62" s="719"/>
      <c r="P62" s="719"/>
      <c r="Q62" s="719"/>
    </row>
    <row r="63" spans="1:17" s="707" customFormat="1" ht="13.2" x14ac:dyDescent="0.25">
      <c r="A63" s="708"/>
      <c r="G63" s="712"/>
      <c r="H63" s="712"/>
      <c r="I63" s="712"/>
      <c r="J63" s="712"/>
      <c r="K63" s="727"/>
      <c r="L63" s="727"/>
      <c r="M63" s="727"/>
      <c r="N63" s="727"/>
      <c r="O63" s="727"/>
      <c r="P63" s="727"/>
      <c r="Q63" s="727"/>
    </row>
    <row r="64" spans="1:17" s="707" customFormat="1" ht="13.2" x14ac:dyDescent="0.25">
      <c r="A64" s="708"/>
      <c r="B64" s="707" t="s">
        <v>285</v>
      </c>
      <c r="G64" s="712"/>
      <c r="H64" s="712"/>
      <c r="I64" s="712"/>
      <c r="J64" s="712"/>
    </row>
    <row r="65" spans="1:18" s="707" customFormat="1" ht="13.2" x14ac:dyDescent="0.25">
      <c r="A65" s="708"/>
      <c r="B65" s="707" t="s">
        <v>286</v>
      </c>
      <c r="C65" s="728"/>
      <c r="D65" s="728"/>
      <c r="E65" s="728"/>
      <c r="F65" s="728"/>
      <c r="G65" s="724"/>
      <c r="H65" s="724"/>
      <c r="I65" s="724"/>
      <c r="J65" s="724"/>
      <c r="K65" s="724"/>
      <c r="L65" s="724"/>
      <c r="M65" s="724"/>
      <c r="N65" s="724"/>
      <c r="O65" s="724"/>
      <c r="P65" s="724"/>
      <c r="Q65" s="724"/>
      <c r="R65" s="728"/>
    </row>
    <row r="66" spans="1:18" s="707" customFormat="1" ht="13.2" x14ac:dyDescent="0.25">
      <c r="A66" s="708"/>
      <c r="G66" s="712"/>
      <c r="H66" s="712"/>
      <c r="I66" s="712"/>
      <c r="J66" s="712"/>
    </row>
    <row r="67" spans="1:18" s="707" customFormat="1" ht="13.2" hidden="1" x14ac:dyDescent="0.25">
      <c r="B67" s="729"/>
    </row>
    <row r="68" spans="1:18" s="707" customFormat="1" ht="13.2" hidden="1" x14ac:dyDescent="0.25">
      <c r="A68" s="708"/>
      <c r="C68" s="729"/>
      <c r="G68" s="712"/>
      <c r="H68" s="712"/>
      <c r="I68" s="712"/>
      <c r="J68" s="712"/>
      <c r="K68" s="720"/>
      <c r="L68" s="720"/>
      <c r="M68" s="720"/>
      <c r="N68" s="720"/>
      <c r="O68" s="720"/>
      <c r="P68" s="720"/>
      <c r="Q68" s="720"/>
    </row>
    <row r="69" spans="1:18" s="707" customFormat="1" ht="13.2" hidden="1" x14ac:dyDescent="0.25">
      <c r="A69" s="708"/>
      <c r="C69" s="729"/>
      <c r="G69" s="712"/>
      <c r="H69" s="712"/>
      <c r="I69" s="712"/>
      <c r="J69" s="712"/>
      <c r="K69" s="720"/>
      <c r="L69" s="720"/>
      <c r="M69" s="720"/>
      <c r="N69" s="720"/>
      <c r="O69" s="720"/>
      <c r="P69" s="720"/>
      <c r="Q69" s="720"/>
    </row>
    <row r="70" spans="1:18" s="707" customFormat="1" ht="13.2" hidden="1" x14ac:dyDescent="0.25">
      <c r="A70" s="708"/>
    </row>
    <row r="71" spans="1:18" s="707" customFormat="1" ht="13.2" hidden="1" x14ac:dyDescent="0.25">
      <c r="A71" s="708"/>
      <c r="G71" s="712"/>
      <c r="H71" s="712"/>
      <c r="I71" s="712"/>
      <c r="J71" s="712"/>
      <c r="K71" s="730"/>
      <c r="L71" s="730"/>
      <c r="M71" s="730"/>
      <c r="N71" s="730"/>
      <c r="O71" s="730"/>
      <c r="P71" s="730"/>
      <c r="Q71" s="730"/>
    </row>
    <row r="72" spans="1:18" s="707" customFormat="1" ht="13.2" hidden="1" x14ac:dyDescent="0.25">
      <c r="A72" s="708"/>
      <c r="G72" s="712"/>
      <c r="H72" s="712"/>
      <c r="I72" s="712"/>
      <c r="J72" s="712"/>
      <c r="K72" s="730"/>
      <c r="L72" s="730"/>
      <c r="M72" s="730"/>
      <c r="N72" s="730"/>
      <c r="O72" s="730"/>
      <c r="P72" s="730"/>
      <c r="Q72" s="730"/>
    </row>
    <row r="73" spans="1:18" s="707" customFormat="1" ht="13.2" hidden="1" x14ac:dyDescent="0.25">
      <c r="A73" s="708"/>
      <c r="G73" s="712"/>
      <c r="H73" s="712"/>
      <c r="I73" s="712"/>
      <c r="J73" s="712"/>
      <c r="K73" s="727"/>
      <c r="L73" s="727"/>
      <c r="M73" s="727"/>
      <c r="N73" s="727"/>
      <c r="O73" s="727"/>
      <c r="P73" s="727"/>
      <c r="Q73" s="727"/>
    </row>
    <row r="74" spans="1:18" s="707" customFormat="1" ht="13.2" hidden="1" x14ac:dyDescent="0.25">
      <c r="A74" s="708"/>
    </row>
    <row r="75" spans="1:18" s="731" customFormat="1" ht="13.2" hidden="1" x14ac:dyDescent="0.25">
      <c r="B75" s="707"/>
      <c r="C75" s="707"/>
      <c r="D75" s="707"/>
      <c r="E75" s="707"/>
      <c r="F75" s="707"/>
      <c r="G75" s="712"/>
      <c r="H75" s="712"/>
      <c r="I75" s="712"/>
      <c r="J75" s="712"/>
      <c r="K75" s="707"/>
      <c r="L75" s="707"/>
      <c r="M75" s="707"/>
      <c r="N75" s="707"/>
      <c r="O75" s="707"/>
      <c r="P75" s="707"/>
      <c r="Q75" s="707"/>
      <c r="R75" s="707"/>
    </row>
    <row r="76" spans="1:18" s="731" customFormat="1" ht="13.2" hidden="1" x14ac:dyDescent="0.25">
      <c r="B76" s="707"/>
      <c r="C76" s="707"/>
      <c r="D76" s="707"/>
      <c r="E76" s="707"/>
      <c r="F76" s="707"/>
      <c r="G76" s="712"/>
      <c r="H76" s="712"/>
      <c r="I76" s="712"/>
      <c r="J76" s="712"/>
      <c r="K76" s="720"/>
      <c r="L76" s="720"/>
      <c r="M76" s="720"/>
      <c r="N76" s="720"/>
      <c r="O76" s="720"/>
      <c r="P76" s="720"/>
      <c r="Q76" s="720"/>
      <c r="R76" s="707"/>
    </row>
    <row r="77" spans="1:18" s="731" customFormat="1" ht="13.2" hidden="1" x14ac:dyDescent="0.25">
      <c r="B77" s="707"/>
      <c r="C77" s="707"/>
      <c r="D77" s="707"/>
      <c r="E77" s="707"/>
      <c r="F77" s="707"/>
      <c r="G77" s="712"/>
      <c r="H77" s="712"/>
      <c r="I77" s="712"/>
      <c r="J77" s="712"/>
      <c r="K77" s="720"/>
      <c r="L77" s="720"/>
      <c r="M77" s="720"/>
      <c r="N77" s="720"/>
      <c r="O77" s="720"/>
      <c r="P77" s="720"/>
      <c r="Q77" s="720"/>
      <c r="R77" s="707"/>
    </row>
    <row r="78" spans="1:18" s="731" customFormat="1" ht="13.2" hidden="1" x14ac:dyDescent="0.25">
      <c r="B78" s="707"/>
      <c r="C78" s="707"/>
      <c r="D78" s="707"/>
      <c r="E78" s="707"/>
      <c r="F78" s="707"/>
      <c r="G78" s="712"/>
      <c r="H78" s="712"/>
      <c r="I78" s="712"/>
      <c r="J78" s="712"/>
      <c r="K78" s="720"/>
      <c r="L78" s="720"/>
      <c r="M78" s="720"/>
      <c r="N78" s="720"/>
      <c r="O78" s="720"/>
      <c r="P78" s="720"/>
      <c r="Q78" s="720"/>
      <c r="R78" s="707"/>
    </row>
    <row r="79" spans="1:18" s="731" customFormat="1" ht="13.2" hidden="1" x14ac:dyDescent="0.25">
      <c r="B79" s="707"/>
      <c r="C79" s="707"/>
      <c r="D79" s="707"/>
      <c r="E79" s="707"/>
      <c r="F79" s="707"/>
      <c r="G79" s="712"/>
      <c r="H79" s="712"/>
      <c r="I79" s="712"/>
      <c r="J79" s="712"/>
      <c r="K79" s="726"/>
      <c r="L79" s="726"/>
      <c r="M79" s="726"/>
      <c r="N79" s="726"/>
      <c r="O79" s="726"/>
      <c r="P79" s="726"/>
      <c r="Q79" s="726"/>
      <c r="R79" s="707"/>
    </row>
    <row r="80" spans="1:18" s="731" customFormat="1" ht="13.2" hidden="1" x14ac:dyDescent="0.25">
      <c r="B80" s="707"/>
      <c r="C80" s="707"/>
      <c r="G80" s="712"/>
      <c r="H80" s="712"/>
      <c r="I80" s="712"/>
      <c r="J80" s="712"/>
      <c r="K80" s="727"/>
      <c r="L80" s="727"/>
      <c r="M80" s="727"/>
      <c r="N80" s="727"/>
      <c r="O80" s="727"/>
      <c r="P80" s="727"/>
      <c r="Q80" s="727"/>
      <c r="R80" s="707"/>
    </row>
    <row r="81" spans="2:18" s="731" customFormat="1" ht="13.2" hidden="1" x14ac:dyDescent="0.25">
      <c r="B81" s="707"/>
      <c r="C81" s="707"/>
      <c r="G81" s="712"/>
      <c r="H81" s="712"/>
      <c r="I81" s="712"/>
      <c r="J81" s="712"/>
      <c r="K81" s="707"/>
      <c r="L81" s="707"/>
      <c r="M81" s="707"/>
      <c r="N81" s="707"/>
      <c r="O81" s="707"/>
      <c r="P81" s="707"/>
      <c r="Q81" s="707"/>
      <c r="R81" s="707"/>
    </row>
    <row r="82" spans="2:18" s="731" customFormat="1" ht="13.2" hidden="1" x14ac:dyDescent="0.25">
      <c r="B82" s="728"/>
      <c r="C82" s="707"/>
      <c r="G82" s="712"/>
      <c r="H82" s="712"/>
      <c r="I82" s="712"/>
      <c r="J82" s="712"/>
      <c r="K82" s="707"/>
      <c r="L82" s="707"/>
      <c r="M82" s="707"/>
      <c r="N82" s="707"/>
      <c r="O82" s="707"/>
      <c r="P82" s="707"/>
      <c r="Q82" s="707"/>
      <c r="R82" s="707"/>
    </row>
    <row r="83" spans="2:18" s="731" customFormat="1" ht="13.2" hidden="1" x14ac:dyDescent="0.25">
      <c r="B83" s="707"/>
      <c r="C83" s="707"/>
      <c r="G83" s="712"/>
      <c r="H83" s="712"/>
      <c r="I83" s="712"/>
      <c r="J83" s="712"/>
      <c r="K83" s="730"/>
      <c r="L83" s="730"/>
      <c r="M83" s="730"/>
      <c r="N83" s="730"/>
      <c r="O83" s="730"/>
      <c r="P83" s="730"/>
      <c r="Q83" s="730"/>
      <c r="R83" s="707"/>
    </row>
    <row r="84" spans="2:18" s="731" customFormat="1" ht="13.2" hidden="1" x14ac:dyDescent="0.25">
      <c r="B84" s="707"/>
      <c r="C84" s="707"/>
      <c r="G84" s="712"/>
      <c r="H84" s="712"/>
      <c r="I84" s="712"/>
      <c r="J84" s="712"/>
      <c r="K84" s="730"/>
      <c r="L84" s="730"/>
      <c r="M84" s="730"/>
      <c r="N84" s="730"/>
      <c r="O84" s="730"/>
      <c r="P84" s="730"/>
      <c r="Q84" s="730"/>
      <c r="R84" s="707"/>
    </row>
    <row r="85" spans="2:18" s="731" customFormat="1" ht="13.2" hidden="1" x14ac:dyDescent="0.25">
      <c r="B85" s="732"/>
      <c r="G85" s="707"/>
      <c r="H85" s="707"/>
      <c r="I85" s="707"/>
      <c r="J85" s="707"/>
      <c r="K85" s="730"/>
      <c r="L85" s="730"/>
      <c r="M85" s="730"/>
      <c r="N85" s="730"/>
      <c r="O85" s="730"/>
      <c r="P85" s="730"/>
      <c r="Q85" s="730"/>
      <c r="R85" s="707"/>
    </row>
    <row r="86" spans="2:18" s="731" customFormat="1" ht="13.2" hidden="1" x14ac:dyDescent="0.25">
      <c r="B86" s="707"/>
      <c r="C86" s="707"/>
      <c r="G86" s="712"/>
      <c r="H86" s="712"/>
      <c r="I86" s="712"/>
      <c r="J86" s="712"/>
      <c r="K86" s="730"/>
      <c r="L86" s="730"/>
      <c r="M86" s="730"/>
      <c r="N86" s="730"/>
      <c r="O86" s="730"/>
      <c r="P86" s="730"/>
      <c r="Q86" s="730"/>
      <c r="R86" s="707"/>
    </row>
    <row r="87" spans="2:18" s="731" customFormat="1" ht="13.2" hidden="1" x14ac:dyDescent="0.25">
      <c r="B87" s="707"/>
      <c r="C87" s="707"/>
      <c r="G87" s="712"/>
      <c r="H87" s="712"/>
      <c r="I87" s="712"/>
      <c r="J87" s="712"/>
      <c r="K87" s="733"/>
      <c r="L87" s="733"/>
      <c r="M87" s="733"/>
      <c r="N87" s="733"/>
      <c r="O87" s="733"/>
      <c r="P87" s="733"/>
      <c r="Q87" s="733"/>
      <c r="R87" s="707"/>
    </row>
    <row r="88" spans="2:18" s="731" customFormat="1" ht="13.2" hidden="1" x14ac:dyDescent="0.25">
      <c r="B88" s="732"/>
      <c r="C88" s="707"/>
      <c r="G88" s="712"/>
      <c r="H88" s="712"/>
      <c r="I88" s="712"/>
      <c r="J88" s="712"/>
      <c r="K88" s="707"/>
      <c r="L88" s="707"/>
      <c r="M88" s="707"/>
      <c r="N88" s="707"/>
      <c r="O88" s="707"/>
      <c r="P88" s="707"/>
      <c r="Q88" s="707"/>
      <c r="R88" s="707"/>
    </row>
    <row r="89" spans="2:18" s="731" customFormat="1" ht="13.2" hidden="1" x14ac:dyDescent="0.25">
      <c r="B89" s="707"/>
      <c r="C89" s="707"/>
      <c r="G89" s="712"/>
      <c r="H89" s="712"/>
      <c r="I89" s="712"/>
      <c r="J89" s="712"/>
      <c r="K89" s="730"/>
      <c r="L89" s="730"/>
      <c r="M89" s="730"/>
      <c r="N89" s="730"/>
      <c r="O89" s="730"/>
      <c r="P89" s="730"/>
      <c r="Q89" s="730"/>
      <c r="R89" s="707"/>
    </row>
    <row r="90" spans="2:18" ht="13.2" hidden="1" x14ac:dyDescent="0.25"/>
    <row r="91" spans="2:18" ht="13.2" hidden="1" x14ac:dyDescent="0.25"/>
    <row r="92" spans="2:18" ht="13.2" hidden="1" x14ac:dyDescent="0.25"/>
    <row r="93" spans="2:18" ht="13.2" hidden="1" x14ac:dyDescent="0.25"/>
    <row r="94" spans="2:18" ht="13.2" hidden="1" x14ac:dyDescent="0.25"/>
    <row r="95" spans="2:18" ht="13.2" hidden="1" x14ac:dyDescent="0.25"/>
    <row r="96" spans="2:18"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customHeight="1" x14ac:dyDescent="0.25"/>
    <row r="332" ht="12.75" customHeight="1" x14ac:dyDescent="0.25"/>
    <row r="333" ht="12.75" customHeight="1" x14ac:dyDescent="0.25"/>
    <row r="334" ht="12.75" customHeight="1" x14ac:dyDescent="0.2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60"/>
  <sheetViews>
    <sheetView showGridLines="0" zoomScale="85" zoomScaleNormal="85" zoomScalePageLayoutView="85" workbookViewId="0"/>
  </sheetViews>
  <sheetFormatPr defaultColWidth="0" defaultRowHeight="12.75" customHeight="1" zeroHeight="1" x14ac:dyDescent="0.25"/>
  <cols>
    <col min="1" max="5" width="2.6640625" style="1159" customWidth="1"/>
    <col min="6" max="6" width="15.33203125" style="1159" customWidth="1"/>
    <col min="7" max="7" width="17.33203125" style="1159" customWidth="1"/>
    <col min="8" max="8" width="17.109375" style="1159" customWidth="1"/>
    <col min="9" max="9" width="13.6640625" style="1404" customWidth="1"/>
    <col min="10" max="29" width="13.6640625" style="1159" customWidth="1"/>
    <col min="30" max="39" width="12.6640625" style="1159" customWidth="1"/>
    <col min="40" max="40" width="2.44140625" style="1159" customWidth="1"/>
    <col min="41" max="281" width="0" style="1159" hidden="1"/>
    <col min="282" max="282" width="3.33203125" style="1159" hidden="1" customWidth="1"/>
    <col min="283" max="285" width="2.6640625" style="1159" hidden="1" customWidth="1"/>
    <col min="286" max="295" width="12.6640625" style="1159" hidden="1" customWidth="1"/>
    <col min="296" max="296" width="2.6640625" style="1159" hidden="1" customWidth="1"/>
    <col min="297" max="537" width="0" style="1159" hidden="1"/>
    <col min="538" max="538" width="3.33203125" style="1159" hidden="1" customWidth="1"/>
    <col min="539" max="541" width="2.6640625" style="1159" hidden="1" customWidth="1"/>
    <col min="542" max="551" width="12.6640625" style="1159" hidden="1" customWidth="1"/>
    <col min="552" max="552" width="2.6640625" style="1159" hidden="1" customWidth="1"/>
    <col min="553" max="793" width="0" style="1159" hidden="1"/>
    <col min="794" max="794" width="3.33203125" style="1159" hidden="1" customWidth="1"/>
    <col min="795" max="797" width="2.6640625" style="1159" hidden="1" customWidth="1"/>
    <col min="798" max="807" width="12.6640625" style="1159" hidden="1" customWidth="1"/>
    <col min="808" max="808" width="2.6640625" style="1159" hidden="1" customWidth="1"/>
    <col min="809" max="1049" width="0" style="1159" hidden="1"/>
    <col min="1050" max="1050" width="3.33203125" style="1159" hidden="1" customWidth="1"/>
    <col min="1051" max="1053" width="2.6640625" style="1159" hidden="1" customWidth="1"/>
    <col min="1054" max="1063" width="12.6640625" style="1159" hidden="1" customWidth="1"/>
    <col min="1064" max="1064" width="2.6640625" style="1159" hidden="1" customWidth="1"/>
    <col min="1065" max="1305" width="0" style="1159" hidden="1"/>
    <col min="1306" max="1306" width="3.33203125" style="1159" hidden="1" customWidth="1"/>
    <col min="1307" max="1309" width="2.6640625" style="1159" hidden="1" customWidth="1"/>
    <col min="1310" max="1319" width="12.6640625" style="1159" hidden="1" customWidth="1"/>
    <col min="1320" max="1320" width="2.6640625" style="1159" hidden="1" customWidth="1"/>
    <col min="1321" max="1561" width="0" style="1159" hidden="1"/>
    <col min="1562" max="1562" width="3.33203125" style="1159" hidden="1" customWidth="1"/>
    <col min="1563" max="1565" width="2.6640625" style="1159" hidden="1" customWidth="1"/>
    <col min="1566" max="1575" width="12.6640625" style="1159" hidden="1" customWidth="1"/>
    <col min="1576" max="1576" width="2.6640625" style="1159" hidden="1" customWidth="1"/>
    <col min="1577" max="1817" width="0" style="1159" hidden="1"/>
    <col min="1818" max="1818" width="3.33203125" style="1159" hidden="1" customWidth="1"/>
    <col min="1819" max="1821" width="2.6640625" style="1159" hidden="1" customWidth="1"/>
    <col min="1822" max="1831" width="12.6640625" style="1159" hidden="1" customWidth="1"/>
    <col min="1832" max="1832" width="2.6640625" style="1159" hidden="1" customWidth="1"/>
    <col min="1833" max="2073" width="0" style="1159" hidden="1"/>
    <col min="2074" max="2074" width="3.33203125" style="1159" hidden="1" customWidth="1"/>
    <col min="2075" max="2077" width="2.6640625" style="1159" hidden="1" customWidth="1"/>
    <col min="2078" max="2087" width="12.6640625" style="1159" hidden="1" customWidth="1"/>
    <col min="2088" max="2088" width="2.6640625" style="1159" hidden="1" customWidth="1"/>
    <col min="2089" max="2329" width="0" style="1159" hidden="1"/>
    <col min="2330" max="2330" width="3.33203125" style="1159" hidden="1" customWidth="1"/>
    <col min="2331" max="2333" width="2.6640625" style="1159" hidden="1" customWidth="1"/>
    <col min="2334" max="2343" width="12.6640625" style="1159" hidden="1" customWidth="1"/>
    <col min="2344" max="2344" width="2.6640625" style="1159" hidden="1" customWidth="1"/>
    <col min="2345" max="2585" width="0" style="1159" hidden="1"/>
    <col min="2586" max="2586" width="3.33203125" style="1159" hidden="1" customWidth="1"/>
    <col min="2587" max="2589" width="2.6640625" style="1159" hidden="1" customWidth="1"/>
    <col min="2590" max="2599" width="12.6640625" style="1159" hidden="1" customWidth="1"/>
    <col min="2600" max="2600" width="2.6640625" style="1159" hidden="1" customWidth="1"/>
    <col min="2601" max="2841" width="0" style="1159" hidden="1"/>
    <col min="2842" max="2842" width="3.33203125" style="1159" hidden="1" customWidth="1"/>
    <col min="2843" max="2845" width="2.6640625" style="1159" hidden="1" customWidth="1"/>
    <col min="2846" max="2855" width="12.6640625" style="1159" hidden="1" customWidth="1"/>
    <col min="2856" max="2856" width="2.6640625" style="1159" hidden="1" customWidth="1"/>
    <col min="2857" max="3097" width="0" style="1159" hidden="1"/>
    <col min="3098" max="3098" width="3.33203125" style="1159" hidden="1" customWidth="1"/>
    <col min="3099" max="3101" width="2.6640625" style="1159" hidden="1" customWidth="1"/>
    <col min="3102" max="3111" width="12.6640625" style="1159" hidden="1" customWidth="1"/>
    <col min="3112" max="3112" width="2.6640625" style="1159" hidden="1" customWidth="1"/>
    <col min="3113" max="3353" width="0" style="1159" hidden="1"/>
    <col min="3354" max="3354" width="3.33203125" style="1159" hidden="1" customWidth="1"/>
    <col min="3355" max="3357" width="2.6640625" style="1159" hidden="1" customWidth="1"/>
    <col min="3358" max="3367" width="12.6640625" style="1159" hidden="1" customWidth="1"/>
    <col min="3368" max="3368" width="2.6640625" style="1159" hidden="1" customWidth="1"/>
    <col min="3369" max="3609" width="0" style="1159" hidden="1"/>
    <col min="3610" max="3610" width="3.33203125" style="1159" hidden="1" customWidth="1"/>
    <col min="3611" max="3613" width="2.6640625" style="1159" hidden="1" customWidth="1"/>
    <col min="3614" max="3623" width="12.6640625" style="1159" hidden="1" customWidth="1"/>
    <col min="3624" max="3624" width="2.6640625" style="1159" hidden="1" customWidth="1"/>
    <col min="3625" max="3865" width="0" style="1159" hidden="1"/>
    <col min="3866" max="3866" width="3.33203125" style="1159" hidden="1" customWidth="1"/>
    <col min="3867" max="3869" width="2.6640625" style="1159" hidden="1" customWidth="1"/>
    <col min="3870" max="3879" width="12.6640625" style="1159" hidden="1" customWidth="1"/>
    <col min="3880" max="3880" width="2.6640625" style="1159" hidden="1" customWidth="1"/>
    <col min="3881" max="4121" width="0" style="1159" hidden="1"/>
    <col min="4122" max="4122" width="3.33203125" style="1159" hidden="1" customWidth="1"/>
    <col min="4123" max="4125" width="2.6640625" style="1159" hidden="1" customWidth="1"/>
    <col min="4126" max="4135" width="12.6640625" style="1159" hidden="1" customWidth="1"/>
    <col min="4136" max="4136" width="2.6640625" style="1159" hidden="1" customWidth="1"/>
    <col min="4137" max="4377" width="0" style="1159" hidden="1"/>
    <col min="4378" max="4378" width="3.33203125" style="1159" hidden="1" customWidth="1"/>
    <col min="4379" max="4381" width="2.6640625" style="1159" hidden="1" customWidth="1"/>
    <col min="4382" max="4391" width="12.6640625" style="1159" hidden="1" customWidth="1"/>
    <col min="4392" max="4392" width="2.6640625" style="1159" hidden="1" customWidth="1"/>
    <col min="4393" max="4633" width="0" style="1159" hidden="1"/>
    <col min="4634" max="4634" width="3.33203125" style="1159" hidden="1" customWidth="1"/>
    <col min="4635" max="4637" width="2.6640625" style="1159" hidden="1" customWidth="1"/>
    <col min="4638" max="4647" width="12.6640625" style="1159" hidden="1" customWidth="1"/>
    <col min="4648" max="4648" width="2.6640625" style="1159" hidden="1" customWidth="1"/>
    <col min="4649" max="4889" width="0" style="1159" hidden="1"/>
    <col min="4890" max="4890" width="3.33203125" style="1159" hidden="1" customWidth="1"/>
    <col min="4891" max="4893" width="2.6640625" style="1159" hidden="1" customWidth="1"/>
    <col min="4894" max="4903" width="12.6640625" style="1159" hidden="1" customWidth="1"/>
    <col min="4904" max="4904" width="2.6640625" style="1159" hidden="1" customWidth="1"/>
    <col min="4905" max="5145" width="0" style="1159" hidden="1"/>
    <col min="5146" max="5146" width="3.33203125" style="1159" hidden="1" customWidth="1"/>
    <col min="5147" max="5149" width="2.6640625" style="1159" hidden="1" customWidth="1"/>
    <col min="5150" max="5159" width="12.6640625" style="1159" hidden="1" customWidth="1"/>
    <col min="5160" max="5160" width="2.6640625" style="1159" hidden="1" customWidth="1"/>
    <col min="5161" max="5401" width="0" style="1159" hidden="1"/>
    <col min="5402" max="5402" width="3.33203125" style="1159" hidden="1" customWidth="1"/>
    <col min="5403" max="5405" width="2.6640625" style="1159" hidden="1" customWidth="1"/>
    <col min="5406" max="5415" width="12.6640625" style="1159" hidden="1" customWidth="1"/>
    <col min="5416" max="5416" width="2.6640625" style="1159" hidden="1" customWidth="1"/>
    <col min="5417" max="5657" width="0" style="1159" hidden="1"/>
    <col min="5658" max="5658" width="3.33203125" style="1159" hidden="1" customWidth="1"/>
    <col min="5659" max="5661" width="2.6640625" style="1159" hidden="1" customWidth="1"/>
    <col min="5662" max="5671" width="12.6640625" style="1159" hidden="1" customWidth="1"/>
    <col min="5672" max="5672" width="2.6640625" style="1159" hidden="1" customWidth="1"/>
    <col min="5673" max="5913" width="0" style="1159" hidden="1"/>
    <col min="5914" max="5914" width="3.33203125" style="1159" hidden="1" customWidth="1"/>
    <col min="5915" max="5917" width="2.6640625" style="1159" hidden="1" customWidth="1"/>
    <col min="5918" max="5927" width="12.6640625" style="1159" hidden="1" customWidth="1"/>
    <col min="5928" max="5928" width="2.6640625" style="1159" hidden="1" customWidth="1"/>
    <col min="5929" max="6169" width="0" style="1159" hidden="1"/>
    <col min="6170" max="6170" width="3.33203125" style="1159" hidden="1" customWidth="1"/>
    <col min="6171" max="6173" width="2.6640625" style="1159" hidden="1" customWidth="1"/>
    <col min="6174" max="6183" width="12.6640625" style="1159" hidden="1" customWidth="1"/>
    <col min="6184" max="6184" width="2.6640625" style="1159" hidden="1" customWidth="1"/>
    <col min="6185" max="6425" width="0" style="1159" hidden="1"/>
    <col min="6426" max="6426" width="3.33203125" style="1159" hidden="1" customWidth="1"/>
    <col min="6427" max="6429" width="2.6640625" style="1159" hidden="1" customWidth="1"/>
    <col min="6430" max="6439" width="12.6640625" style="1159" hidden="1" customWidth="1"/>
    <col min="6440" max="6440" width="2.6640625" style="1159" hidden="1" customWidth="1"/>
    <col min="6441" max="6681" width="0" style="1159" hidden="1"/>
    <col min="6682" max="6682" width="3.33203125" style="1159" hidden="1" customWidth="1"/>
    <col min="6683" max="6685" width="2.6640625" style="1159" hidden="1" customWidth="1"/>
    <col min="6686" max="6695" width="12.6640625" style="1159" hidden="1" customWidth="1"/>
    <col min="6696" max="6696" width="2.6640625" style="1159" hidden="1" customWidth="1"/>
    <col min="6697" max="6937" width="0" style="1159" hidden="1"/>
    <col min="6938" max="6938" width="3.33203125" style="1159" hidden="1" customWidth="1"/>
    <col min="6939" max="6941" width="2.6640625" style="1159" hidden="1" customWidth="1"/>
    <col min="6942" max="6951" width="12.6640625" style="1159" hidden="1" customWidth="1"/>
    <col min="6952" max="6952" width="2.6640625" style="1159" hidden="1" customWidth="1"/>
    <col min="6953" max="7193" width="0" style="1159" hidden="1"/>
    <col min="7194" max="7194" width="3.33203125" style="1159" hidden="1" customWidth="1"/>
    <col min="7195" max="7197" width="2.6640625" style="1159" hidden="1" customWidth="1"/>
    <col min="7198" max="7207" width="12.6640625" style="1159" hidden="1" customWidth="1"/>
    <col min="7208" max="7208" width="2.6640625" style="1159" hidden="1" customWidth="1"/>
    <col min="7209" max="7449" width="0" style="1159" hidden="1"/>
    <col min="7450" max="7450" width="3.33203125" style="1159" hidden="1" customWidth="1"/>
    <col min="7451" max="7453" width="2.6640625" style="1159" hidden="1" customWidth="1"/>
    <col min="7454" max="7463" width="12.6640625" style="1159" hidden="1" customWidth="1"/>
    <col min="7464" max="7464" width="2.6640625" style="1159" hidden="1" customWidth="1"/>
    <col min="7465" max="7705" width="0" style="1159" hidden="1"/>
    <col min="7706" max="7706" width="3.33203125" style="1159" hidden="1" customWidth="1"/>
    <col min="7707" max="7709" width="2.6640625" style="1159" hidden="1" customWidth="1"/>
    <col min="7710" max="7719" width="12.6640625" style="1159" hidden="1" customWidth="1"/>
    <col min="7720" max="7720" width="2.6640625" style="1159" hidden="1" customWidth="1"/>
    <col min="7721" max="7961" width="0" style="1159" hidden="1"/>
    <col min="7962" max="7962" width="3.33203125" style="1159" hidden="1" customWidth="1"/>
    <col min="7963" max="7965" width="2.6640625" style="1159" hidden="1" customWidth="1"/>
    <col min="7966" max="7975" width="12.6640625" style="1159" hidden="1" customWidth="1"/>
    <col min="7976" max="7976" width="2.6640625" style="1159" hidden="1" customWidth="1"/>
    <col min="7977" max="8217" width="0" style="1159" hidden="1"/>
    <col min="8218" max="8218" width="3.33203125" style="1159" hidden="1" customWidth="1"/>
    <col min="8219" max="8221" width="2.6640625" style="1159" hidden="1" customWidth="1"/>
    <col min="8222" max="8231" width="12.6640625" style="1159" hidden="1" customWidth="1"/>
    <col min="8232" max="8232" width="2.6640625" style="1159" hidden="1" customWidth="1"/>
    <col min="8233" max="8473" width="0" style="1159" hidden="1"/>
    <col min="8474" max="8474" width="3.33203125" style="1159" hidden="1" customWidth="1"/>
    <col min="8475" max="8477" width="2.6640625" style="1159" hidden="1" customWidth="1"/>
    <col min="8478" max="8487" width="12.6640625" style="1159" hidden="1" customWidth="1"/>
    <col min="8488" max="8488" width="2.6640625" style="1159" hidden="1" customWidth="1"/>
    <col min="8489" max="8729" width="0" style="1159" hidden="1"/>
    <col min="8730" max="8730" width="3.33203125" style="1159" hidden="1" customWidth="1"/>
    <col min="8731" max="8733" width="2.6640625" style="1159" hidden="1" customWidth="1"/>
    <col min="8734" max="8743" width="12.6640625" style="1159" hidden="1" customWidth="1"/>
    <col min="8744" max="8744" width="2.6640625" style="1159" hidden="1" customWidth="1"/>
    <col min="8745" max="8985" width="0" style="1159" hidden="1"/>
    <col min="8986" max="8986" width="3.33203125" style="1159" hidden="1" customWidth="1"/>
    <col min="8987" max="8989" width="2.6640625" style="1159" hidden="1" customWidth="1"/>
    <col min="8990" max="8999" width="12.6640625" style="1159" hidden="1" customWidth="1"/>
    <col min="9000" max="9000" width="2.6640625" style="1159" hidden="1" customWidth="1"/>
    <col min="9001" max="9241" width="0" style="1159" hidden="1"/>
    <col min="9242" max="9242" width="3.33203125" style="1159" hidden="1" customWidth="1"/>
    <col min="9243" max="9245" width="2.6640625" style="1159" hidden="1" customWidth="1"/>
    <col min="9246" max="9255" width="12.6640625" style="1159" hidden="1" customWidth="1"/>
    <col min="9256" max="9256" width="2.6640625" style="1159" hidden="1" customWidth="1"/>
    <col min="9257" max="9497" width="0" style="1159" hidden="1"/>
    <col min="9498" max="9498" width="3.33203125" style="1159" hidden="1" customWidth="1"/>
    <col min="9499" max="9501" width="2.6640625" style="1159" hidden="1" customWidth="1"/>
    <col min="9502" max="9511" width="12.6640625" style="1159" hidden="1" customWidth="1"/>
    <col min="9512" max="9512" width="2.6640625" style="1159" hidden="1" customWidth="1"/>
    <col min="9513" max="9753" width="0" style="1159" hidden="1"/>
    <col min="9754" max="9754" width="3.33203125" style="1159" hidden="1" customWidth="1"/>
    <col min="9755" max="9757" width="2.6640625" style="1159" hidden="1" customWidth="1"/>
    <col min="9758" max="9767" width="12.6640625" style="1159" hidden="1" customWidth="1"/>
    <col min="9768" max="9768" width="2.6640625" style="1159" hidden="1" customWidth="1"/>
    <col min="9769" max="10009" width="0" style="1159" hidden="1"/>
    <col min="10010" max="10010" width="3.33203125" style="1159" hidden="1" customWidth="1"/>
    <col min="10011" max="10013" width="2.6640625" style="1159" hidden="1" customWidth="1"/>
    <col min="10014" max="10023" width="12.6640625" style="1159" hidden="1" customWidth="1"/>
    <col min="10024" max="10024" width="2.6640625" style="1159" hidden="1" customWidth="1"/>
    <col min="10025" max="10265" width="0" style="1159" hidden="1"/>
    <col min="10266" max="10266" width="3.33203125" style="1159" hidden="1" customWidth="1"/>
    <col min="10267" max="10269" width="2.6640625" style="1159" hidden="1" customWidth="1"/>
    <col min="10270" max="10279" width="12.6640625" style="1159" hidden="1" customWidth="1"/>
    <col min="10280" max="10280" width="2.6640625" style="1159" hidden="1" customWidth="1"/>
    <col min="10281" max="10521" width="0" style="1159" hidden="1"/>
    <col min="10522" max="10522" width="3.33203125" style="1159" hidden="1" customWidth="1"/>
    <col min="10523" max="10525" width="2.6640625" style="1159" hidden="1" customWidth="1"/>
    <col min="10526" max="10535" width="12.6640625" style="1159" hidden="1" customWidth="1"/>
    <col min="10536" max="10536" width="2.6640625" style="1159" hidden="1" customWidth="1"/>
    <col min="10537" max="10777" width="0" style="1159" hidden="1"/>
    <col min="10778" max="10778" width="3.33203125" style="1159" hidden="1" customWidth="1"/>
    <col min="10779" max="10781" width="2.6640625" style="1159" hidden="1" customWidth="1"/>
    <col min="10782" max="10791" width="12.6640625" style="1159" hidden="1" customWidth="1"/>
    <col min="10792" max="10792" width="2.6640625" style="1159" hidden="1" customWidth="1"/>
    <col min="10793" max="11033" width="0" style="1159" hidden="1"/>
    <col min="11034" max="11034" width="3.33203125" style="1159" hidden="1" customWidth="1"/>
    <col min="11035" max="11037" width="2.6640625" style="1159" hidden="1" customWidth="1"/>
    <col min="11038" max="11047" width="12.6640625" style="1159" hidden="1" customWidth="1"/>
    <col min="11048" max="11048" width="2.6640625" style="1159" hidden="1" customWidth="1"/>
    <col min="11049" max="11289" width="0" style="1159" hidden="1"/>
    <col min="11290" max="11290" width="3.33203125" style="1159" hidden="1" customWidth="1"/>
    <col min="11291" max="11293" width="2.6640625" style="1159" hidden="1" customWidth="1"/>
    <col min="11294" max="11303" width="12.6640625" style="1159" hidden="1" customWidth="1"/>
    <col min="11304" max="11304" width="2.6640625" style="1159" hidden="1" customWidth="1"/>
    <col min="11305" max="11545" width="0" style="1159" hidden="1"/>
    <col min="11546" max="11546" width="3.33203125" style="1159" hidden="1" customWidth="1"/>
    <col min="11547" max="11549" width="2.6640625" style="1159" hidden="1" customWidth="1"/>
    <col min="11550" max="11559" width="12.6640625" style="1159" hidden="1" customWidth="1"/>
    <col min="11560" max="11560" width="2.6640625" style="1159" hidden="1" customWidth="1"/>
    <col min="11561" max="11801" width="0" style="1159" hidden="1"/>
    <col min="11802" max="11802" width="3.33203125" style="1159" hidden="1" customWidth="1"/>
    <col min="11803" max="11805" width="2.6640625" style="1159" hidden="1" customWidth="1"/>
    <col min="11806" max="11815" width="12.6640625" style="1159" hidden="1" customWidth="1"/>
    <col min="11816" max="11816" width="2.6640625" style="1159" hidden="1" customWidth="1"/>
    <col min="11817" max="12057" width="0" style="1159" hidden="1"/>
    <col min="12058" max="12058" width="3.33203125" style="1159" hidden="1" customWidth="1"/>
    <col min="12059" max="12061" width="2.6640625" style="1159" hidden="1" customWidth="1"/>
    <col min="12062" max="12071" width="12.6640625" style="1159" hidden="1" customWidth="1"/>
    <col min="12072" max="12072" width="2.6640625" style="1159" hidden="1" customWidth="1"/>
    <col min="12073" max="12313" width="0" style="1159" hidden="1"/>
    <col min="12314" max="12314" width="3.33203125" style="1159" hidden="1" customWidth="1"/>
    <col min="12315" max="12317" width="2.6640625" style="1159" hidden="1" customWidth="1"/>
    <col min="12318" max="12327" width="12.6640625" style="1159" hidden="1" customWidth="1"/>
    <col min="12328" max="12328" width="2.6640625" style="1159" hidden="1" customWidth="1"/>
    <col min="12329" max="12569" width="0" style="1159" hidden="1"/>
    <col min="12570" max="12570" width="3.33203125" style="1159" hidden="1" customWidth="1"/>
    <col min="12571" max="12573" width="2.6640625" style="1159" hidden="1" customWidth="1"/>
    <col min="12574" max="12583" width="12.6640625" style="1159" hidden="1" customWidth="1"/>
    <col min="12584" max="12584" width="2.6640625" style="1159" hidden="1" customWidth="1"/>
    <col min="12585" max="12825" width="0" style="1159" hidden="1"/>
    <col min="12826" max="12826" width="3.33203125" style="1159" hidden="1" customWidth="1"/>
    <col min="12827" max="12829" width="2.6640625" style="1159" hidden="1" customWidth="1"/>
    <col min="12830" max="12839" width="12.6640625" style="1159" hidden="1" customWidth="1"/>
    <col min="12840" max="12840" width="2.6640625" style="1159" hidden="1" customWidth="1"/>
    <col min="12841" max="13081" width="0" style="1159" hidden="1"/>
    <col min="13082" max="13082" width="3.33203125" style="1159" hidden="1" customWidth="1"/>
    <col min="13083" max="13085" width="2.6640625" style="1159" hidden="1" customWidth="1"/>
    <col min="13086" max="13095" width="12.6640625" style="1159" hidden="1" customWidth="1"/>
    <col min="13096" max="13096" width="2.6640625" style="1159" hidden="1" customWidth="1"/>
    <col min="13097" max="13337" width="0" style="1159" hidden="1"/>
    <col min="13338" max="13338" width="3.33203125" style="1159" hidden="1" customWidth="1"/>
    <col min="13339" max="13341" width="2.6640625" style="1159" hidden="1" customWidth="1"/>
    <col min="13342" max="13351" width="12.6640625" style="1159" hidden="1" customWidth="1"/>
    <col min="13352" max="13352" width="2.6640625" style="1159" hidden="1" customWidth="1"/>
    <col min="13353" max="13593" width="0" style="1159" hidden="1"/>
    <col min="13594" max="13594" width="3.33203125" style="1159" hidden="1" customWidth="1"/>
    <col min="13595" max="13597" width="2.6640625" style="1159" hidden="1" customWidth="1"/>
    <col min="13598" max="13607" width="12.6640625" style="1159" hidden="1" customWidth="1"/>
    <col min="13608" max="13608" width="2.6640625" style="1159" hidden="1" customWidth="1"/>
    <col min="13609" max="13849" width="0" style="1159" hidden="1"/>
    <col min="13850" max="13850" width="3.33203125" style="1159" hidden="1" customWidth="1"/>
    <col min="13851" max="13853" width="2.6640625" style="1159" hidden="1" customWidth="1"/>
    <col min="13854" max="13863" width="12.6640625" style="1159" hidden="1" customWidth="1"/>
    <col min="13864" max="13864" width="2.6640625" style="1159" hidden="1" customWidth="1"/>
    <col min="13865" max="14105" width="0" style="1159" hidden="1"/>
    <col min="14106" max="14106" width="3.33203125" style="1159" hidden="1" customWidth="1"/>
    <col min="14107" max="14109" width="2.6640625" style="1159" hidden="1" customWidth="1"/>
    <col min="14110" max="14119" width="12.6640625" style="1159" hidden="1" customWidth="1"/>
    <col min="14120" max="14120" width="2.6640625" style="1159" hidden="1" customWidth="1"/>
    <col min="14121" max="14361" width="0" style="1159" hidden="1"/>
    <col min="14362" max="14362" width="3.33203125" style="1159" hidden="1" customWidth="1"/>
    <col min="14363" max="14365" width="2.6640625" style="1159" hidden="1" customWidth="1"/>
    <col min="14366" max="14375" width="12.6640625" style="1159" hidden="1" customWidth="1"/>
    <col min="14376" max="14376" width="2.6640625" style="1159" hidden="1" customWidth="1"/>
    <col min="14377" max="14617" width="0" style="1159" hidden="1"/>
    <col min="14618" max="14618" width="3.33203125" style="1159" hidden="1" customWidth="1"/>
    <col min="14619" max="14621" width="2.6640625" style="1159" hidden="1" customWidth="1"/>
    <col min="14622" max="14631" width="12.6640625" style="1159" hidden="1" customWidth="1"/>
    <col min="14632" max="14632" width="2.6640625" style="1159" hidden="1" customWidth="1"/>
    <col min="14633" max="14873" width="0" style="1159" hidden="1"/>
    <col min="14874" max="14874" width="3.33203125" style="1159" hidden="1" customWidth="1"/>
    <col min="14875" max="14877" width="2.6640625" style="1159" hidden="1" customWidth="1"/>
    <col min="14878" max="14887" width="12.6640625" style="1159" hidden="1" customWidth="1"/>
    <col min="14888" max="14888" width="2.6640625" style="1159" hidden="1" customWidth="1"/>
    <col min="14889" max="15129" width="0" style="1159" hidden="1"/>
    <col min="15130" max="15130" width="3.33203125" style="1159" hidden="1" customWidth="1"/>
    <col min="15131" max="15133" width="2.6640625" style="1159" hidden="1" customWidth="1"/>
    <col min="15134" max="15143" width="12.6640625" style="1159" hidden="1" customWidth="1"/>
    <col min="15144" max="15144" width="2.6640625" style="1159" hidden="1" customWidth="1"/>
    <col min="15145" max="15385" width="0" style="1159" hidden="1"/>
    <col min="15386" max="15386" width="3.33203125" style="1159" hidden="1" customWidth="1"/>
    <col min="15387" max="15389" width="2.6640625" style="1159" hidden="1" customWidth="1"/>
    <col min="15390" max="15399" width="12.6640625" style="1159" hidden="1" customWidth="1"/>
    <col min="15400" max="15400" width="2.6640625" style="1159" hidden="1" customWidth="1"/>
    <col min="15401" max="15641" width="0" style="1159" hidden="1"/>
    <col min="15642" max="15642" width="3.33203125" style="1159" hidden="1" customWidth="1"/>
    <col min="15643" max="15645" width="2.6640625" style="1159" hidden="1" customWidth="1"/>
    <col min="15646" max="15655" width="12.6640625" style="1159" hidden="1" customWidth="1"/>
    <col min="15656" max="15656" width="2.6640625" style="1159" hidden="1" customWidth="1"/>
    <col min="15657" max="15897" width="0" style="1159" hidden="1"/>
    <col min="15898" max="15898" width="3.33203125" style="1159" hidden="1" customWidth="1"/>
    <col min="15899" max="15901" width="2.6640625" style="1159" hidden="1" customWidth="1"/>
    <col min="15902" max="15911" width="12.6640625" style="1159" hidden="1" customWidth="1"/>
    <col min="15912" max="15912" width="2.6640625" style="1159" hidden="1" customWidth="1"/>
    <col min="15913" max="16153" width="0" style="1159" hidden="1"/>
    <col min="16154" max="16154" width="3.33203125" style="1159" hidden="1" customWidth="1"/>
    <col min="16155" max="16157" width="2.6640625" style="1159" hidden="1" customWidth="1"/>
    <col min="16158" max="16167" width="12.6640625" style="1159" hidden="1" customWidth="1"/>
    <col min="16168" max="16168" width="2.6640625" style="1159" hidden="1" customWidth="1"/>
    <col min="16169" max="16384" width="0" style="1159" hidden="1"/>
  </cols>
  <sheetData>
    <row r="1" spans="1:43" s="1147" customFormat="1" ht="13.2" x14ac:dyDescent="0.25">
      <c r="A1" s="1465" t="s">
        <v>635</v>
      </c>
      <c r="I1" s="1148"/>
    </row>
    <row r="2" spans="1:43" s="1147" customFormat="1" ht="13.2" x14ac:dyDescent="0.25">
      <c r="A2" s="1148"/>
      <c r="I2" s="1148"/>
    </row>
    <row r="3" spans="1:43" s="1155" customFormat="1" ht="12.75" customHeight="1" x14ac:dyDescent="0.25">
      <c r="A3" s="1149" t="s">
        <v>558</v>
      </c>
      <c r="B3" s="1150"/>
      <c r="C3" s="1150"/>
      <c r="D3" s="1151"/>
      <c r="E3" s="1151"/>
      <c r="F3" s="1152"/>
      <c r="G3" s="1152"/>
      <c r="H3" s="1152"/>
      <c r="I3" s="1405"/>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c r="AL3" s="1152"/>
      <c r="AM3" s="1152"/>
      <c r="AN3" s="1153"/>
      <c r="AO3" s="1154"/>
      <c r="AP3" s="1147"/>
      <c r="AQ3" s="1147"/>
    </row>
    <row r="4" spans="1:43" s="1155" customFormat="1" ht="12.75" customHeight="1" x14ac:dyDescent="0.25">
      <c r="A4" s="1156"/>
      <c r="B4" s="1147"/>
      <c r="F4" s="1157"/>
      <c r="G4" s="1157"/>
      <c r="H4" s="1157"/>
      <c r="I4" s="114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3"/>
      <c r="AO4" s="1154"/>
      <c r="AP4" s="1147"/>
      <c r="AQ4" s="1147"/>
    </row>
    <row r="5" spans="1:43" s="1155" customFormat="1" ht="12.75" customHeight="1" x14ac:dyDescent="0.25">
      <c r="A5" s="1156"/>
      <c r="B5" s="1147" t="s">
        <v>420</v>
      </c>
      <c r="F5" s="1157"/>
      <c r="G5" s="1157"/>
      <c r="H5" s="1157"/>
      <c r="I5" s="1148"/>
      <c r="J5" s="1158"/>
      <c r="K5" s="1158"/>
      <c r="L5" s="1158"/>
      <c r="M5" s="1158"/>
      <c r="N5" s="1158"/>
      <c r="O5" s="1158"/>
      <c r="P5" s="1158"/>
      <c r="Q5" s="1158"/>
      <c r="R5" s="1158"/>
      <c r="S5" s="1158"/>
      <c r="T5" s="1158"/>
      <c r="U5" s="1158"/>
      <c r="V5" s="1158"/>
      <c r="W5" s="1158"/>
      <c r="X5" s="1158"/>
      <c r="Y5" s="1158"/>
      <c r="Z5" s="1158"/>
      <c r="AA5" s="1158"/>
      <c r="AB5" s="1158"/>
      <c r="AC5" s="1158"/>
      <c r="AD5" s="1158"/>
      <c r="AE5" s="1158"/>
      <c r="AF5" s="1158"/>
      <c r="AG5" s="1158"/>
      <c r="AH5" s="1158"/>
      <c r="AI5" s="1158"/>
      <c r="AJ5" s="1158"/>
      <c r="AK5" s="1158"/>
      <c r="AL5" s="1158"/>
      <c r="AM5" s="1158"/>
      <c r="AN5" s="1153"/>
      <c r="AO5" s="1154"/>
      <c r="AP5" s="1147"/>
      <c r="AQ5" s="1147"/>
    </row>
    <row r="6" spans="1:43" s="1155" customFormat="1" ht="12.75" customHeight="1" x14ac:dyDescent="0.25">
      <c r="A6" s="1156"/>
      <c r="B6" s="1147"/>
      <c r="F6" s="1157"/>
      <c r="G6" s="1157"/>
      <c r="H6" s="1157"/>
      <c r="I6" s="114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3"/>
      <c r="AO6" s="1154"/>
      <c r="AP6" s="1147"/>
      <c r="AQ6" s="1147"/>
    </row>
    <row r="7" spans="1:43" ht="12.75" customHeight="1" x14ac:dyDescent="0.25"/>
    <row r="8" spans="1:43" ht="12.75" customHeight="1" x14ac:dyDescent="0.25"/>
    <row r="9" spans="1:43" ht="12.75" customHeight="1" x14ac:dyDescent="0.25"/>
    <row r="10" spans="1:43" ht="12.75" customHeight="1" x14ac:dyDescent="0.25"/>
    <row r="11" spans="1:43" ht="12.75" customHeight="1" x14ac:dyDescent="0.25"/>
    <row r="12" spans="1:43" ht="12.75" customHeight="1" x14ac:dyDescent="0.25"/>
    <row r="13" spans="1:43" ht="12.75" customHeight="1" x14ac:dyDescent="0.25"/>
    <row r="14" spans="1:43" ht="12.75" customHeight="1" x14ac:dyDescent="0.25"/>
    <row r="15" spans="1:43" ht="12.75" customHeight="1" x14ac:dyDescent="0.25"/>
    <row r="16" spans="1:43"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sheetData>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1077"/>
  <sheetViews>
    <sheetView showGridLines="0" zoomScale="85" zoomScaleNormal="85" zoomScalePageLayoutView="85" workbookViewId="0"/>
  </sheetViews>
  <sheetFormatPr defaultColWidth="0" defaultRowHeight="0" customHeight="1" zeroHeight="1" x14ac:dyDescent="0.25"/>
  <cols>
    <col min="1" max="5" width="2.6640625" style="734" customWidth="1"/>
    <col min="6" max="7" width="12.6640625" style="734" customWidth="1"/>
    <col min="8" max="8" width="17.109375" style="734" customWidth="1"/>
    <col min="9" max="9" width="13.6640625" style="734" customWidth="1"/>
    <col min="10" max="41" width="12.6640625" style="734" customWidth="1"/>
    <col min="42" max="42" width="2.44140625" style="734" customWidth="1"/>
    <col min="43" max="283" width="0" style="734" hidden="1"/>
    <col min="284" max="284" width="3.33203125" style="734" hidden="1" customWidth="1"/>
    <col min="285" max="287" width="2.6640625" style="734" hidden="1" customWidth="1"/>
    <col min="288" max="297" width="12.6640625" style="734" hidden="1" customWidth="1"/>
    <col min="298" max="298" width="2.6640625" style="734" hidden="1" customWidth="1"/>
    <col min="299" max="539" width="0" style="734" hidden="1"/>
    <col min="540" max="540" width="3.33203125" style="734" hidden="1" customWidth="1"/>
    <col min="541" max="543" width="2.6640625" style="734" hidden="1" customWidth="1"/>
    <col min="544" max="553" width="12.6640625" style="734" hidden="1" customWidth="1"/>
    <col min="554" max="554" width="2.6640625" style="734" hidden="1" customWidth="1"/>
    <col min="555" max="795" width="0" style="734" hidden="1"/>
    <col min="796" max="796" width="3.33203125" style="734" hidden="1" customWidth="1"/>
    <col min="797" max="799" width="2.6640625" style="734" hidden="1" customWidth="1"/>
    <col min="800" max="809" width="12.6640625" style="734" hidden="1" customWidth="1"/>
    <col min="810" max="810" width="2.6640625" style="734" hidden="1" customWidth="1"/>
    <col min="811" max="1051" width="0" style="734" hidden="1"/>
    <col min="1052" max="1052" width="3.33203125" style="734" hidden="1" customWidth="1"/>
    <col min="1053" max="1055" width="2.6640625" style="734" hidden="1" customWidth="1"/>
    <col min="1056" max="1065" width="12.6640625" style="734" hidden="1" customWidth="1"/>
    <col min="1066" max="1066" width="2.6640625" style="734" hidden="1" customWidth="1"/>
    <col min="1067" max="1307" width="0" style="734" hidden="1"/>
    <col min="1308" max="1308" width="3.33203125" style="734" hidden="1" customWidth="1"/>
    <col min="1309" max="1311" width="2.6640625" style="734" hidden="1" customWidth="1"/>
    <col min="1312" max="1321" width="12.6640625" style="734" hidden="1" customWidth="1"/>
    <col min="1322" max="1322" width="2.6640625" style="734" hidden="1" customWidth="1"/>
    <col min="1323" max="1563" width="0" style="734" hidden="1"/>
    <col min="1564" max="1564" width="3.33203125" style="734" hidden="1" customWidth="1"/>
    <col min="1565" max="1567" width="2.6640625" style="734" hidden="1" customWidth="1"/>
    <col min="1568" max="1577" width="12.6640625" style="734" hidden="1" customWidth="1"/>
    <col min="1578" max="1578" width="2.6640625" style="734" hidden="1" customWidth="1"/>
    <col min="1579" max="1819" width="0" style="734" hidden="1"/>
    <col min="1820" max="1820" width="3.33203125" style="734" hidden="1" customWidth="1"/>
    <col min="1821" max="1823" width="2.6640625" style="734" hidden="1" customWidth="1"/>
    <col min="1824" max="1833" width="12.6640625" style="734" hidden="1" customWidth="1"/>
    <col min="1834" max="1834" width="2.6640625" style="734" hidden="1" customWidth="1"/>
    <col min="1835" max="2075" width="0" style="734" hidden="1"/>
    <col min="2076" max="2076" width="3.33203125" style="734" hidden="1" customWidth="1"/>
    <col min="2077" max="2079" width="2.6640625" style="734" hidden="1" customWidth="1"/>
    <col min="2080" max="2089" width="12.6640625" style="734" hidden="1" customWidth="1"/>
    <col min="2090" max="2090" width="2.6640625" style="734" hidden="1" customWidth="1"/>
    <col min="2091" max="2331" width="0" style="734" hidden="1"/>
    <col min="2332" max="2332" width="3.33203125" style="734" hidden="1" customWidth="1"/>
    <col min="2333" max="2335" width="2.6640625" style="734" hidden="1" customWidth="1"/>
    <col min="2336" max="2345" width="12.6640625" style="734" hidden="1" customWidth="1"/>
    <col min="2346" max="2346" width="2.6640625" style="734" hidden="1" customWidth="1"/>
    <col min="2347" max="2587" width="0" style="734" hidden="1"/>
    <col min="2588" max="2588" width="3.33203125" style="734" hidden="1" customWidth="1"/>
    <col min="2589" max="2591" width="2.6640625" style="734" hidden="1" customWidth="1"/>
    <col min="2592" max="2601" width="12.6640625" style="734" hidden="1" customWidth="1"/>
    <col min="2602" max="2602" width="2.6640625" style="734" hidden="1" customWidth="1"/>
    <col min="2603" max="2843" width="0" style="734" hidden="1"/>
    <col min="2844" max="2844" width="3.33203125" style="734" hidden="1" customWidth="1"/>
    <col min="2845" max="2847" width="2.6640625" style="734" hidden="1" customWidth="1"/>
    <col min="2848" max="2857" width="12.6640625" style="734" hidden="1" customWidth="1"/>
    <col min="2858" max="2858" width="2.6640625" style="734" hidden="1" customWidth="1"/>
    <col min="2859" max="3099" width="0" style="734" hidden="1"/>
    <col min="3100" max="3100" width="3.33203125" style="734" hidden="1" customWidth="1"/>
    <col min="3101" max="3103" width="2.6640625" style="734" hidden="1" customWidth="1"/>
    <col min="3104" max="3113" width="12.6640625" style="734" hidden="1" customWidth="1"/>
    <col min="3114" max="3114" width="2.6640625" style="734" hidden="1" customWidth="1"/>
    <col min="3115" max="3355" width="0" style="734" hidden="1"/>
    <col min="3356" max="3356" width="3.33203125" style="734" hidden="1" customWidth="1"/>
    <col min="3357" max="3359" width="2.6640625" style="734" hidden="1" customWidth="1"/>
    <col min="3360" max="3369" width="12.6640625" style="734" hidden="1" customWidth="1"/>
    <col min="3370" max="3370" width="2.6640625" style="734" hidden="1" customWidth="1"/>
    <col min="3371" max="3611" width="0" style="734" hidden="1"/>
    <col min="3612" max="3612" width="3.33203125" style="734" hidden="1" customWidth="1"/>
    <col min="3613" max="3615" width="2.6640625" style="734" hidden="1" customWidth="1"/>
    <col min="3616" max="3625" width="12.6640625" style="734" hidden="1" customWidth="1"/>
    <col min="3626" max="3626" width="2.6640625" style="734" hidden="1" customWidth="1"/>
    <col min="3627" max="3867" width="0" style="734" hidden="1"/>
    <col min="3868" max="3868" width="3.33203125" style="734" hidden="1" customWidth="1"/>
    <col min="3869" max="3871" width="2.6640625" style="734" hidden="1" customWidth="1"/>
    <col min="3872" max="3881" width="12.6640625" style="734" hidden="1" customWidth="1"/>
    <col min="3882" max="3882" width="2.6640625" style="734" hidden="1" customWidth="1"/>
    <col min="3883" max="4123" width="0" style="734" hidden="1"/>
    <col min="4124" max="4124" width="3.33203125" style="734" hidden="1" customWidth="1"/>
    <col min="4125" max="4127" width="2.6640625" style="734" hidden="1" customWidth="1"/>
    <col min="4128" max="4137" width="12.6640625" style="734" hidden="1" customWidth="1"/>
    <col min="4138" max="4138" width="2.6640625" style="734" hidden="1" customWidth="1"/>
    <col min="4139" max="4379" width="0" style="734" hidden="1"/>
    <col min="4380" max="4380" width="3.33203125" style="734" hidden="1" customWidth="1"/>
    <col min="4381" max="4383" width="2.6640625" style="734" hidden="1" customWidth="1"/>
    <col min="4384" max="4393" width="12.6640625" style="734" hidden="1" customWidth="1"/>
    <col min="4394" max="4394" width="2.6640625" style="734" hidden="1" customWidth="1"/>
    <col min="4395" max="4635" width="0" style="734" hidden="1"/>
    <col min="4636" max="4636" width="3.33203125" style="734" hidden="1" customWidth="1"/>
    <col min="4637" max="4639" width="2.6640625" style="734" hidden="1" customWidth="1"/>
    <col min="4640" max="4649" width="12.6640625" style="734" hidden="1" customWidth="1"/>
    <col min="4650" max="4650" width="2.6640625" style="734" hidden="1" customWidth="1"/>
    <col min="4651" max="4891" width="0" style="734" hidden="1"/>
    <col min="4892" max="4892" width="3.33203125" style="734" hidden="1" customWidth="1"/>
    <col min="4893" max="4895" width="2.6640625" style="734" hidden="1" customWidth="1"/>
    <col min="4896" max="4905" width="12.6640625" style="734" hidden="1" customWidth="1"/>
    <col min="4906" max="4906" width="2.6640625" style="734" hidden="1" customWidth="1"/>
    <col min="4907" max="5147" width="0" style="734" hidden="1"/>
    <col min="5148" max="5148" width="3.33203125" style="734" hidden="1" customWidth="1"/>
    <col min="5149" max="5151" width="2.6640625" style="734" hidden="1" customWidth="1"/>
    <col min="5152" max="5161" width="12.6640625" style="734" hidden="1" customWidth="1"/>
    <col min="5162" max="5162" width="2.6640625" style="734" hidden="1" customWidth="1"/>
    <col min="5163" max="5403" width="0" style="734" hidden="1"/>
    <col min="5404" max="5404" width="3.33203125" style="734" hidden="1" customWidth="1"/>
    <col min="5405" max="5407" width="2.6640625" style="734" hidden="1" customWidth="1"/>
    <col min="5408" max="5417" width="12.6640625" style="734" hidden="1" customWidth="1"/>
    <col min="5418" max="5418" width="2.6640625" style="734" hidden="1" customWidth="1"/>
    <col min="5419" max="5659" width="0" style="734" hidden="1"/>
    <col min="5660" max="5660" width="3.33203125" style="734" hidden="1" customWidth="1"/>
    <col min="5661" max="5663" width="2.6640625" style="734" hidden="1" customWidth="1"/>
    <col min="5664" max="5673" width="12.6640625" style="734" hidden="1" customWidth="1"/>
    <col min="5674" max="5674" width="2.6640625" style="734" hidden="1" customWidth="1"/>
    <col min="5675" max="5915" width="0" style="734" hidden="1"/>
    <col min="5916" max="5916" width="3.33203125" style="734" hidden="1" customWidth="1"/>
    <col min="5917" max="5919" width="2.6640625" style="734" hidden="1" customWidth="1"/>
    <col min="5920" max="5929" width="12.6640625" style="734" hidden="1" customWidth="1"/>
    <col min="5930" max="5930" width="2.6640625" style="734" hidden="1" customWidth="1"/>
    <col min="5931" max="6171" width="0" style="734" hidden="1"/>
    <col min="6172" max="6172" width="3.33203125" style="734" hidden="1" customWidth="1"/>
    <col min="6173" max="6175" width="2.6640625" style="734" hidden="1" customWidth="1"/>
    <col min="6176" max="6185" width="12.6640625" style="734" hidden="1" customWidth="1"/>
    <col min="6186" max="6186" width="2.6640625" style="734" hidden="1" customWidth="1"/>
    <col min="6187" max="6427" width="0" style="734" hidden="1"/>
    <col min="6428" max="6428" width="3.33203125" style="734" hidden="1" customWidth="1"/>
    <col min="6429" max="6431" width="2.6640625" style="734" hidden="1" customWidth="1"/>
    <col min="6432" max="6441" width="12.6640625" style="734" hidden="1" customWidth="1"/>
    <col min="6442" max="6442" width="2.6640625" style="734" hidden="1" customWidth="1"/>
    <col min="6443" max="6683" width="0" style="734" hidden="1"/>
    <col min="6684" max="6684" width="3.33203125" style="734" hidden="1" customWidth="1"/>
    <col min="6685" max="6687" width="2.6640625" style="734" hidden="1" customWidth="1"/>
    <col min="6688" max="6697" width="12.6640625" style="734" hidden="1" customWidth="1"/>
    <col min="6698" max="6698" width="2.6640625" style="734" hidden="1" customWidth="1"/>
    <col min="6699" max="6939" width="0" style="734" hidden="1"/>
    <col min="6940" max="6940" width="3.33203125" style="734" hidden="1" customWidth="1"/>
    <col min="6941" max="6943" width="2.6640625" style="734" hidden="1" customWidth="1"/>
    <col min="6944" max="6953" width="12.6640625" style="734" hidden="1" customWidth="1"/>
    <col min="6954" max="6954" width="2.6640625" style="734" hidden="1" customWidth="1"/>
    <col min="6955" max="7195" width="0" style="734" hidden="1"/>
    <col min="7196" max="7196" width="3.33203125" style="734" hidden="1" customWidth="1"/>
    <col min="7197" max="7199" width="2.6640625" style="734" hidden="1" customWidth="1"/>
    <col min="7200" max="7209" width="12.6640625" style="734" hidden="1" customWidth="1"/>
    <col min="7210" max="7210" width="2.6640625" style="734" hidden="1" customWidth="1"/>
    <col min="7211" max="7451" width="0" style="734" hidden="1"/>
    <col min="7452" max="7452" width="3.33203125" style="734" hidden="1" customWidth="1"/>
    <col min="7453" max="7455" width="2.6640625" style="734" hidden="1" customWidth="1"/>
    <col min="7456" max="7465" width="12.6640625" style="734" hidden="1" customWidth="1"/>
    <col min="7466" max="7466" width="2.6640625" style="734" hidden="1" customWidth="1"/>
    <col min="7467" max="7707" width="0" style="734" hidden="1"/>
    <col min="7708" max="7708" width="3.33203125" style="734" hidden="1" customWidth="1"/>
    <col min="7709" max="7711" width="2.6640625" style="734" hidden="1" customWidth="1"/>
    <col min="7712" max="7721" width="12.6640625" style="734" hidden="1" customWidth="1"/>
    <col min="7722" max="7722" width="2.6640625" style="734" hidden="1" customWidth="1"/>
    <col min="7723" max="7963" width="0" style="734" hidden="1"/>
    <col min="7964" max="7964" width="3.33203125" style="734" hidden="1" customWidth="1"/>
    <col min="7965" max="7967" width="2.6640625" style="734" hidden="1" customWidth="1"/>
    <col min="7968" max="7977" width="12.6640625" style="734" hidden="1" customWidth="1"/>
    <col min="7978" max="7978" width="2.6640625" style="734" hidden="1" customWidth="1"/>
    <col min="7979" max="8219" width="0" style="734" hidden="1"/>
    <col min="8220" max="8220" width="3.33203125" style="734" hidden="1" customWidth="1"/>
    <col min="8221" max="8223" width="2.6640625" style="734" hidden="1" customWidth="1"/>
    <col min="8224" max="8233" width="12.6640625" style="734" hidden="1" customWidth="1"/>
    <col min="8234" max="8234" width="2.6640625" style="734" hidden="1" customWidth="1"/>
    <col min="8235" max="8475" width="0" style="734" hidden="1"/>
    <col min="8476" max="8476" width="3.33203125" style="734" hidden="1" customWidth="1"/>
    <col min="8477" max="8479" width="2.6640625" style="734" hidden="1" customWidth="1"/>
    <col min="8480" max="8489" width="12.6640625" style="734" hidden="1" customWidth="1"/>
    <col min="8490" max="8490" width="2.6640625" style="734" hidden="1" customWidth="1"/>
    <col min="8491" max="8731" width="0" style="734" hidden="1"/>
    <col min="8732" max="8732" width="3.33203125" style="734" hidden="1" customWidth="1"/>
    <col min="8733" max="8735" width="2.6640625" style="734" hidden="1" customWidth="1"/>
    <col min="8736" max="8745" width="12.6640625" style="734" hidden="1" customWidth="1"/>
    <col min="8746" max="8746" width="2.6640625" style="734" hidden="1" customWidth="1"/>
    <col min="8747" max="8987" width="0" style="734" hidden="1"/>
    <col min="8988" max="8988" width="3.33203125" style="734" hidden="1" customWidth="1"/>
    <col min="8989" max="8991" width="2.6640625" style="734" hidden="1" customWidth="1"/>
    <col min="8992" max="9001" width="12.6640625" style="734" hidden="1" customWidth="1"/>
    <col min="9002" max="9002" width="2.6640625" style="734" hidden="1" customWidth="1"/>
    <col min="9003" max="9243" width="0" style="734" hidden="1"/>
    <col min="9244" max="9244" width="3.33203125" style="734" hidden="1" customWidth="1"/>
    <col min="9245" max="9247" width="2.6640625" style="734" hidden="1" customWidth="1"/>
    <col min="9248" max="9257" width="12.6640625" style="734" hidden="1" customWidth="1"/>
    <col min="9258" max="9258" width="2.6640625" style="734" hidden="1" customWidth="1"/>
    <col min="9259" max="9499" width="0" style="734" hidden="1"/>
    <col min="9500" max="9500" width="3.33203125" style="734" hidden="1" customWidth="1"/>
    <col min="9501" max="9503" width="2.6640625" style="734" hidden="1" customWidth="1"/>
    <col min="9504" max="9513" width="12.6640625" style="734" hidden="1" customWidth="1"/>
    <col min="9514" max="9514" width="2.6640625" style="734" hidden="1" customWidth="1"/>
    <col min="9515" max="9755" width="0" style="734" hidden="1"/>
    <col min="9756" max="9756" width="3.33203125" style="734" hidden="1" customWidth="1"/>
    <col min="9757" max="9759" width="2.6640625" style="734" hidden="1" customWidth="1"/>
    <col min="9760" max="9769" width="12.6640625" style="734" hidden="1" customWidth="1"/>
    <col min="9770" max="9770" width="2.6640625" style="734" hidden="1" customWidth="1"/>
    <col min="9771" max="10011" width="0" style="734" hidden="1"/>
    <col min="10012" max="10012" width="3.33203125" style="734" hidden="1" customWidth="1"/>
    <col min="10013" max="10015" width="2.6640625" style="734" hidden="1" customWidth="1"/>
    <col min="10016" max="10025" width="12.6640625" style="734" hidden="1" customWidth="1"/>
    <col min="10026" max="10026" width="2.6640625" style="734" hidden="1" customWidth="1"/>
    <col min="10027" max="10267" width="0" style="734" hidden="1"/>
    <col min="10268" max="10268" width="3.33203125" style="734" hidden="1" customWidth="1"/>
    <col min="10269" max="10271" width="2.6640625" style="734" hidden="1" customWidth="1"/>
    <col min="10272" max="10281" width="12.6640625" style="734" hidden="1" customWidth="1"/>
    <col min="10282" max="10282" width="2.6640625" style="734" hidden="1" customWidth="1"/>
    <col min="10283" max="10523" width="0" style="734" hidden="1"/>
    <col min="10524" max="10524" width="3.33203125" style="734" hidden="1" customWidth="1"/>
    <col min="10525" max="10527" width="2.6640625" style="734" hidden="1" customWidth="1"/>
    <col min="10528" max="10537" width="12.6640625" style="734" hidden="1" customWidth="1"/>
    <col min="10538" max="10538" width="2.6640625" style="734" hidden="1" customWidth="1"/>
    <col min="10539" max="10779" width="0" style="734" hidden="1"/>
    <col min="10780" max="10780" width="3.33203125" style="734" hidden="1" customWidth="1"/>
    <col min="10781" max="10783" width="2.6640625" style="734" hidden="1" customWidth="1"/>
    <col min="10784" max="10793" width="12.6640625" style="734" hidden="1" customWidth="1"/>
    <col min="10794" max="10794" width="2.6640625" style="734" hidden="1" customWidth="1"/>
    <col min="10795" max="11035" width="0" style="734" hidden="1"/>
    <col min="11036" max="11036" width="3.33203125" style="734" hidden="1" customWidth="1"/>
    <col min="11037" max="11039" width="2.6640625" style="734" hidden="1" customWidth="1"/>
    <col min="11040" max="11049" width="12.6640625" style="734" hidden="1" customWidth="1"/>
    <col min="11050" max="11050" width="2.6640625" style="734" hidden="1" customWidth="1"/>
    <col min="11051" max="11291" width="0" style="734" hidden="1"/>
    <col min="11292" max="11292" width="3.33203125" style="734" hidden="1" customWidth="1"/>
    <col min="11293" max="11295" width="2.6640625" style="734" hidden="1" customWidth="1"/>
    <col min="11296" max="11305" width="12.6640625" style="734" hidden="1" customWidth="1"/>
    <col min="11306" max="11306" width="2.6640625" style="734" hidden="1" customWidth="1"/>
    <col min="11307" max="11547" width="0" style="734" hidden="1"/>
    <col min="11548" max="11548" width="3.33203125" style="734" hidden="1" customWidth="1"/>
    <col min="11549" max="11551" width="2.6640625" style="734" hidden="1" customWidth="1"/>
    <col min="11552" max="11561" width="12.6640625" style="734" hidden="1" customWidth="1"/>
    <col min="11562" max="11562" width="2.6640625" style="734" hidden="1" customWidth="1"/>
    <col min="11563" max="11803" width="0" style="734" hidden="1"/>
    <col min="11804" max="11804" width="3.33203125" style="734" hidden="1" customWidth="1"/>
    <col min="11805" max="11807" width="2.6640625" style="734" hidden="1" customWidth="1"/>
    <col min="11808" max="11817" width="12.6640625" style="734" hidden="1" customWidth="1"/>
    <col min="11818" max="11818" width="2.6640625" style="734" hidden="1" customWidth="1"/>
    <col min="11819" max="12059" width="0" style="734" hidden="1"/>
    <col min="12060" max="12060" width="3.33203125" style="734" hidden="1" customWidth="1"/>
    <col min="12061" max="12063" width="2.6640625" style="734" hidden="1" customWidth="1"/>
    <col min="12064" max="12073" width="12.6640625" style="734" hidden="1" customWidth="1"/>
    <col min="12074" max="12074" width="2.6640625" style="734" hidden="1" customWidth="1"/>
    <col min="12075" max="12315" width="0" style="734" hidden="1"/>
    <col min="12316" max="12316" width="3.33203125" style="734" hidden="1" customWidth="1"/>
    <col min="12317" max="12319" width="2.6640625" style="734" hidden="1" customWidth="1"/>
    <col min="12320" max="12329" width="12.6640625" style="734" hidden="1" customWidth="1"/>
    <col min="12330" max="12330" width="2.6640625" style="734" hidden="1" customWidth="1"/>
    <col min="12331" max="12571" width="0" style="734" hidden="1"/>
    <col min="12572" max="12572" width="3.33203125" style="734" hidden="1" customWidth="1"/>
    <col min="12573" max="12575" width="2.6640625" style="734" hidden="1" customWidth="1"/>
    <col min="12576" max="12585" width="12.6640625" style="734" hidden="1" customWidth="1"/>
    <col min="12586" max="12586" width="2.6640625" style="734" hidden="1" customWidth="1"/>
    <col min="12587" max="12827" width="0" style="734" hidden="1"/>
    <col min="12828" max="12828" width="3.33203125" style="734" hidden="1" customWidth="1"/>
    <col min="12829" max="12831" width="2.6640625" style="734" hidden="1" customWidth="1"/>
    <col min="12832" max="12841" width="12.6640625" style="734" hidden="1" customWidth="1"/>
    <col min="12842" max="12842" width="2.6640625" style="734" hidden="1" customWidth="1"/>
    <col min="12843" max="13083" width="0" style="734" hidden="1"/>
    <col min="13084" max="13084" width="3.33203125" style="734" hidden="1" customWidth="1"/>
    <col min="13085" max="13087" width="2.6640625" style="734" hidden="1" customWidth="1"/>
    <col min="13088" max="13097" width="12.6640625" style="734" hidden="1" customWidth="1"/>
    <col min="13098" max="13098" width="2.6640625" style="734" hidden="1" customWidth="1"/>
    <col min="13099" max="13339" width="0" style="734" hidden="1"/>
    <col min="13340" max="13340" width="3.33203125" style="734" hidden="1" customWidth="1"/>
    <col min="13341" max="13343" width="2.6640625" style="734" hidden="1" customWidth="1"/>
    <col min="13344" max="13353" width="12.6640625" style="734" hidden="1" customWidth="1"/>
    <col min="13354" max="13354" width="2.6640625" style="734" hidden="1" customWidth="1"/>
    <col min="13355" max="13595" width="0" style="734" hidden="1"/>
    <col min="13596" max="13596" width="3.33203125" style="734" hidden="1" customWidth="1"/>
    <col min="13597" max="13599" width="2.6640625" style="734" hidden="1" customWidth="1"/>
    <col min="13600" max="13609" width="12.6640625" style="734" hidden="1" customWidth="1"/>
    <col min="13610" max="13610" width="2.6640625" style="734" hidden="1" customWidth="1"/>
    <col min="13611" max="13851" width="0" style="734" hidden="1"/>
    <col min="13852" max="13852" width="3.33203125" style="734" hidden="1" customWidth="1"/>
    <col min="13853" max="13855" width="2.6640625" style="734" hidden="1" customWidth="1"/>
    <col min="13856" max="13865" width="12.6640625" style="734" hidden="1" customWidth="1"/>
    <col min="13866" max="13866" width="2.6640625" style="734" hidden="1" customWidth="1"/>
    <col min="13867" max="14107" width="0" style="734" hidden="1"/>
    <col min="14108" max="14108" width="3.33203125" style="734" hidden="1" customWidth="1"/>
    <col min="14109" max="14111" width="2.6640625" style="734" hidden="1" customWidth="1"/>
    <col min="14112" max="14121" width="12.6640625" style="734" hidden="1" customWidth="1"/>
    <col min="14122" max="14122" width="2.6640625" style="734" hidden="1" customWidth="1"/>
    <col min="14123" max="14363" width="0" style="734" hidden="1"/>
    <col min="14364" max="14364" width="3.33203125" style="734" hidden="1" customWidth="1"/>
    <col min="14365" max="14367" width="2.6640625" style="734" hidden="1" customWidth="1"/>
    <col min="14368" max="14377" width="12.6640625" style="734" hidden="1" customWidth="1"/>
    <col min="14378" max="14378" width="2.6640625" style="734" hidden="1" customWidth="1"/>
    <col min="14379" max="14619" width="0" style="734" hidden="1"/>
    <col min="14620" max="14620" width="3.33203125" style="734" hidden="1" customWidth="1"/>
    <col min="14621" max="14623" width="2.6640625" style="734" hidden="1" customWidth="1"/>
    <col min="14624" max="14633" width="12.6640625" style="734" hidden="1" customWidth="1"/>
    <col min="14634" max="14634" width="2.6640625" style="734" hidden="1" customWidth="1"/>
    <col min="14635" max="14875" width="0" style="734" hidden="1"/>
    <col min="14876" max="14876" width="3.33203125" style="734" hidden="1" customWidth="1"/>
    <col min="14877" max="14879" width="2.6640625" style="734" hidden="1" customWidth="1"/>
    <col min="14880" max="14889" width="12.6640625" style="734" hidden="1" customWidth="1"/>
    <col min="14890" max="14890" width="2.6640625" style="734" hidden="1" customWidth="1"/>
    <col min="14891" max="15131" width="0" style="734" hidden="1"/>
    <col min="15132" max="15132" width="3.33203125" style="734" hidden="1" customWidth="1"/>
    <col min="15133" max="15135" width="2.6640625" style="734" hidden="1" customWidth="1"/>
    <col min="15136" max="15145" width="12.6640625" style="734" hidden="1" customWidth="1"/>
    <col min="15146" max="15146" width="2.6640625" style="734" hidden="1" customWidth="1"/>
    <col min="15147" max="15387" width="0" style="734" hidden="1"/>
    <col min="15388" max="15388" width="3.33203125" style="734" hidden="1" customWidth="1"/>
    <col min="15389" max="15391" width="2.6640625" style="734" hidden="1" customWidth="1"/>
    <col min="15392" max="15401" width="12.6640625" style="734" hidden="1" customWidth="1"/>
    <col min="15402" max="15402" width="2.6640625" style="734" hidden="1" customWidth="1"/>
    <col min="15403" max="15643" width="0" style="734" hidden="1"/>
    <col min="15644" max="15644" width="3.33203125" style="734" hidden="1" customWidth="1"/>
    <col min="15645" max="15647" width="2.6640625" style="734" hidden="1" customWidth="1"/>
    <col min="15648" max="15657" width="12.6640625" style="734" hidden="1" customWidth="1"/>
    <col min="15658" max="15658" width="2.6640625" style="734" hidden="1" customWidth="1"/>
    <col min="15659" max="15899" width="0" style="734" hidden="1"/>
    <col min="15900" max="15900" width="3.33203125" style="734" hidden="1" customWidth="1"/>
    <col min="15901" max="15903" width="2.6640625" style="734" hidden="1" customWidth="1"/>
    <col min="15904" max="15913" width="12.6640625" style="734" hidden="1" customWidth="1"/>
    <col min="15914" max="15914" width="2.6640625" style="734" hidden="1" customWidth="1"/>
    <col min="15915" max="16155" width="0" style="734" hidden="1"/>
    <col min="16156" max="16156" width="3.33203125" style="734" hidden="1" customWidth="1"/>
    <col min="16157" max="16159" width="2.6640625" style="734" hidden="1" customWidth="1"/>
    <col min="16160" max="16169" width="12.6640625" style="734" hidden="1" customWidth="1"/>
    <col min="16170" max="16170" width="2.6640625" style="734" hidden="1" customWidth="1"/>
    <col min="16171" max="16384" width="0" style="734" hidden="1"/>
  </cols>
  <sheetData>
    <row r="1" spans="1:45" s="707" customFormat="1" ht="13.2" x14ac:dyDescent="0.25">
      <c r="A1" s="1465" t="s">
        <v>635</v>
      </c>
    </row>
    <row r="2" spans="1:45" s="707" customFormat="1" ht="13.2" x14ac:dyDescent="0.25">
      <c r="A2" s="708"/>
    </row>
    <row r="3" spans="1:45" s="711" customFormat="1" ht="12.75" customHeight="1" x14ac:dyDescent="0.25">
      <c r="A3" s="716" t="s">
        <v>515</v>
      </c>
      <c r="B3" s="717"/>
      <c r="C3" s="717"/>
      <c r="D3" s="718"/>
      <c r="E3" s="718"/>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4"/>
      <c r="AQ3" s="715"/>
      <c r="AR3" s="707"/>
      <c r="AS3" s="707"/>
    </row>
    <row r="4" spans="1:45" s="711" customFormat="1" ht="12.75" customHeight="1" x14ac:dyDescent="0.25">
      <c r="A4" s="710"/>
      <c r="B4" s="707"/>
      <c r="F4" s="712"/>
      <c r="G4" s="712"/>
      <c r="H4" s="712"/>
      <c r="I4" s="712"/>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4"/>
      <c r="AQ4" s="715"/>
      <c r="AR4" s="707"/>
      <c r="AS4" s="707"/>
    </row>
    <row r="5" spans="1:45" s="711" customFormat="1" ht="12.75" customHeight="1" x14ac:dyDescent="0.25">
      <c r="A5" s="710"/>
      <c r="B5" s="8" t="s">
        <v>543</v>
      </c>
      <c r="F5" s="712"/>
      <c r="G5" s="712"/>
      <c r="H5" s="712"/>
      <c r="I5" s="712"/>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4"/>
      <c r="AQ5" s="715"/>
      <c r="AR5" s="707"/>
      <c r="AS5" s="707"/>
    </row>
    <row r="6" spans="1:45" s="711" customFormat="1" ht="12.75" customHeight="1" x14ac:dyDescent="0.25">
      <c r="A6" s="710"/>
      <c r="B6" s="8"/>
      <c r="C6" s="707" t="s">
        <v>519</v>
      </c>
      <c r="D6" s="707" t="s">
        <v>531</v>
      </c>
      <c r="F6" s="712"/>
      <c r="G6" s="712"/>
      <c r="H6" s="712"/>
      <c r="I6" s="712"/>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4"/>
      <c r="AQ6" s="715"/>
      <c r="AR6" s="707"/>
      <c r="AS6" s="707"/>
    </row>
    <row r="7" spans="1:45" s="711" customFormat="1" ht="12.75" customHeight="1" x14ac:dyDescent="0.25">
      <c r="A7" s="710"/>
      <c r="B7" s="707"/>
      <c r="C7" s="707" t="s">
        <v>520</v>
      </c>
      <c r="D7" s="707" t="s">
        <v>540</v>
      </c>
      <c r="F7" s="712"/>
      <c r="G7" s="712"/>
      <c r="H7" s="712"/>
      <c r="I7" s="712"/>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4"/>
      <c r="AQ7" s="715"/>
      <c r="AR7" s="707"/>
      <c r="AS7" s="707"/>
    </row>
    <row r="8" spans="1:45" s="711" customFormat="1" ht="12.75" customHeight="1" x14ac:dyDescent="0.25">
      <c r="A8" s="710"/>
      <c r="B8" s="707"/>
      <c r="C8" s="707" t="s">
        <v>522</v>
      </c>
      <c r="D8" s="707" t="s">
        <v>521</v>
      </c>
      <c r="F8" s="712"/>
      <c r="G8" s="712"/>
      <c r="H8" s="712"/>
      <c r="I8" s="712"/>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4"/>
      <c r="AQ8" s="715"/>
      <c r="AR8" s="707"/>
      <c r="AS8" s="707"/>
    </row>
    <row r="9" spans="1:45" s="711" customFormat="1" ht="12.75" customHeight="1" x14ac:dyDescent="0.25">
      <c r="A9" s="710"/>
      <c r="B9" s="707"/>
      <c r="C9" s="707" t="s">
        <v>524</v>
      </c>
      <c r="D9" s="707" t="s">
        <v>523</v>
      </c>
      <c r="F9" s="712"/>
      <c r="G9" s="712"/>
      <c r="H9" s="712"/>
      <c r="I9" s="712"/>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4"/>
      <c r="AQ9" s="715"/>
      <c r="AR9" s="707"/>
      <c r="AS9" s="707"/>
    </row>
    <row r="10" spans="1:45" s="711" customFormat="1" ht="12.75" customHeight="1" x14ac:dyDescent="0.25">
      <c r="A10" s="710"/>
      <c r="B10" s="707"/>
      <c r="C10" s="707" t="s">
        <v>526</v>
      </c>
      <c r="D10" s="707" t="s">
        <v>525</v>
      </c>
      <c r="F10" s="712"/>
      <c r="G10" s="712"/>
      <c r="H10" s="712"/>
      <c r="I10" s="712"/>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4"/>
      <c r="AQ10" s="715"/>
      <c r="AR10" s="707"/>
      <c r="AS10" s="707"/>
    </row>
    <row r="11" spans="1:45" s="711" customFormat="1" ht="12.75" customHeight="1" x14ac:dyDescent="0.25">
      <c r="A11" s="710"/>
      <c r="B11" s="707"/>
      <c r="C11" s="707" t="s">
        <v>528</v>
      </c>
      <c r="D11" s="707" t="s">
        <v>527</v>
      </c>
      <c r="F11" s="712"/>
      <c r="G11" s="712"/>
      <c r="H11" s="712"/>
      <c r="I11" s="712"/>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4"/>
      <c r="AQ11" s="715"/>
      <c r="AR11" s="707"/>
      <c r="AS11" s="707"/>
    </row>
    <row r="12" spans="1:45" s="711" customFormat="1" ht="12.75" customHeight="1" x14ac:dyDescent="0.25">
      <c r="A12" s="710"/>
      <c r="B12" s="707"/>
      <c r="C12" s="707" t="s">
        <v>530</v>
      </c>
      <c r="D12" s="707" t="s">
        <v>529</v>
      </c>
      <c r="F12" s="712"/>
      <c r="G12" s="712"/>
      <c r="H12" s="712"/>
      <c r="I12" s="712"/>
      <c r="J12" s="713"/>
      <c r="K12" s="713"/>
      <c r="L12" s="713"/>
      <c r="M12" s="713"/>
      <c r="N12" s="713"/>
      <c r="O12" s="713"/>
      <c r="P12" s="713"/>
      <c r="Q12" s="713"/>
      <c r="R12" s="713"/>
      <c r="S12" s="713"/>
      <c r="T12" s="713"/>
      <c r="U12" s="713"/>
      <c r="V12" s="713"/>
      <c r="W12" s="713"/>
      <c r="X12" s="713"/>
      <c r="Y12" s="713"/>
      <c r="Z12" s="713"/>
      <c r="AA12" s="713"/>
      <c r="AB12" s="713"/>
      <c r="AC12" s="713"/>
      <c r="AD12" s="713"/>
      <c r="AE12" s="713"/>
      <c r="AF12" s="713"/>
      <c r="AG12" s="713"/>
      <c r="AH12" s="713"/>
      <c r="AI12" s="713"/>
      <c r="AJ12" s="713"/>
      <c r="AK12" s="713"/>
      <c r="AL12" s="713"/>
      <c r="AM12" s="713"/>
      <c r="AN12" s="713"/>
      <c r="AO12" s="713"/>
      <c r="AP12" s="714"/>
      <c r="AQ12" s="715"/>
      <c r="AR12" s="707"/>
      <c r="AS12" s="707"/>
    </row>
    <row r="13" spans="1:45" s="711" customFormat="1" ht="12.75" customHeight="1" x14ac:dyDescent="0.25">
      <c r="A13" s="710"/>
      <c r="B13" s="707"/>
      <c r="C13" s="707" t="s">
        <v>541</v>
      </c>
      <c r="D13" s="707" t="s">
        <v>542</v>
      </c>
      <c r="F13" s="712"/>
      <c r="G13" s="712"/>
      <c r="H13" s="712"/>
      <c r="I13" s="712"/>
      <c r="J13" s="713"/>
      <c r="K13" s="713"/>
      <c r="L13" s="713"/>
      <c r="M13" s="713"/>
      <c r="N13" s="713"/>
      <c r="O13" s="713"/>
      <c r="P13" s="713"/>
      <c r="Q13" s="713"/>
      <c r="R13" s="713"/>
      <c r="S13" s="713"/>
      <c r="T13" s="713"/>
      <c r="U13" s="713"/>
      <c r="V13" s="713"/>
      <c r="W13" s="713"/>
      <c r="X13" s="713"/>
      <c r="Y13" s="713"/>
      <c r="Z13" s="713"/>
      <c r="AA13" s="713"/>
      <c r="AB13" s="713"/>
      <c r="AC13" s="713"/>
      <c r="AD13" s="713"/>
      <c r="AE13" s="713"/>
      <c r="AF13" s="713"/>
      <c r="AG13" s="713"/>
      <c r="AH13" s="713"/>
      <c r="AI13" s="713"/>
      <c r="AJ13" s="713"/>
      <c r="AK13" s="713"/>
      <c r="AL13" s="713"/>
      <c r="AM13" s="713"/>
      <c r="AN13" s="713"/>
      <c r="AO13" s="713"/>
      <c r="AP13" s="714"/>
      <c r="AQ13" s="715"/>
      <c r="AR13" s="707"/>
      <c r="AS13" s="707"/>
    </row>
    <row r="14" spans="1:45" s="707" customFormat="1" ht="12.75" customHeight="1" x14ac:dyDescent="0.25">
      <c r="A14" s="708"/>
      <c r="F14" s="712"/>
      <c r="G14" s="712"/>
      <c r="H14" s="712"/>
      <c r="I14" s="712"/>
      <c r="J14" s="713"/>
      <c r="K14" s="713"/>
      <c r="L14" s="713"/>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3"/>
      <c r="AK14" s="713"/>
      <c r="AL14" s="713"/>
      <c r="AM14" s="713"/>
      <c r="AN14" s="713"/>
      <c r="AO14" s="713"/>
      <c r="AP14" s="713"/>
      <c r="AQ14" s="715"/>
    </row>
    <row r="15" spans="1:45" s="707" customFormat="1" ht="12.75" customHeight="1" x14ac:dyDescent="0.25">
      <c r="A15" s="44" t="s">
        <v>532</v>
      </c>
      <c r="B15" s="44"/>
      <c r="C15" s="44"/>
      <c r="D15" s="44"/>
      <c r="E15" s="44"/>
      <c r="F15" s="44"/>
      <c r="G15" s="44"/>
      <c r="H15" s="44"/>
      <c r="I15" s="44"/>
      <c r="J15" s="45"/>
      <c r="K15" s="45"/>
      <c r="L15" s="4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713"/>
      <c r="AQ15" s="715"/>
    </row>
    <row r="16" spans="1:45" s="707" customFormat="1" ht="12.75" customHeight="1" x14ac:dyDescent="0.25">
      <c r="A16" s="708"/>
      <c r="F16" s="712"/>
      <c r="G16" s="712"/>
      <c r="H16" s="712"/>
      <c r="I16" s="712"/>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c r="AK16" s="713"/>
      <c r="AL16" s="713"/>
      <c r="AM16" s="713"/>
      <c r="AN16" s="713"/>
      <c r="AO16" s="713"/>
      <c r="AP16" s="713"/>
      <c r="AQ16" s="715"/>
    </row>
    <row r="17" spans="1:43" s="707" customFormat="1" ht="12.75" customHeight="1" x14ac:dyDescent="0.25">
      <c r="A17" s="8"/>
      <c r="B17" s="52" t="s">
        <v>537</v>
      </c>
      <c r="C17" s="21"/>
      <c r="D17" s="21"/>
      <c r="E17" s="21"/>
      <c r="F17" s="21"/>
      <c r="G17" s="21"/>
      <c r="H17" s="21"/>
      <c r="I17" s="21"/>
      <c r="J17" s="22"/>
      <c r="K17" s="22"/>
      <c r="L17" s="22"/>
      <c r="M17" s="22"/>
      <c r="N17" s="22"/>
      <c r="O17" s="21"/>
      <c r="P17" s="21"/>
      <c r="Q17" s="21"/>
      <c r="R17" s="21"/>
      <c r="S17" s="21"/>
      <c r="T17" s="21"/>
      <c r="U17" s="21"/>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5"/>
    </row>
    <row r="18" spans="1:43" s="707" customFormat="1" ht="12.75" customHeight="1" x14ac:dyDescent="0.25">
      <c r="A18" s="8"/>
      <c r="B18" s="8"/>
      <c r="C18" s="8"/>
      <c r="D18" s="8"/>
      <c r="E18" s="8"/>
      <c r="F18" s="8"/>
      <c r="G18" s="8"/>
      <c r="H18" s="8"/>
      <c r="I18" s="11"/>
      <c r="J18" s="1115"/>
      <c r="K18" s="1115"/>
      <c r="L18" s="1115"/>
      <c r="M18" s="1115"/>
      <c r="N18" s="1115"/>
      <c r="O18" s="1115"/>
      <c r="P18" s="40"/>
      <c r="Q18" s="8"/>
      <c r="R18" s="8"/>
      <c r="S18" s="8"/>
      <c r="T18" s="8"/>
      <c r="U18" s="8"/>
      <c r="V18" s="713"/>
      <c r="W18" s="713"/>
      <c r="X18" s="713"/>
      <c r="Y18" s="713"/>
      <c r="Z18" s="713"/>
      <c r="AA18" s="713"/>
      <c r="AB18" s="713"/>
      <c r="AC18" s="713"/>
      <c r="AD18" s="713"/>
      <c r="AE18" s="713"/>
      <c r="AF18" s="713"/>
      <c r="AG18" s="713"/>
      <c r="AH18" s="713"/>
      <c r="AI18" s="713"/>
      <c r="AJ18" s="713"/>
      <c r="AK18" s="713"/>
      <c r="AL18" s="713"/>
      <c r="AM18" s="713"/>
      <c r="AN18" s="713"/>
      <c r="AO18" s="713"/>
      <c r="AP18" s="713"/>
      <c r="AQ18" s="715"/>
    </row>
    <row r="19" spans="1:43" s="707" customFormat="1" ht="12.75" customHeight="1" x14ac:dyDescent="0.25">
      <c r="A19" s="8"/>
      <c r="B19" s="8"/>
      <c r="C19" s="8"/>
      <c r="D19" s="8"/>
      <c r="E19" s="8"/>
      <c r="F19" s="8"/>
      <c r="G19" s="8"/>
      <c r="H19" s="8"/>
      <c r="I19" s="11"/>
      <c r="J19" s="1115"/>
      <c r="K19" s="1115"/>
      <c r="L19" s="1115"/>
      <c r="M19" s="1115"/>
      <c r="N19" s="1115"/>
      <c r="O19" s="1115"/>
      <c r="P19" s="40"/>
      <c r="Q19" s="8"/>
      <c r="R19" s="8"/>
      <c r="S19" s="8"/>
      <c r="T19" s="8"/>
      <c r="U19" s="8"/>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5"/>
    </row>
    <row r="20" spans="1:43" s="707" customFormat="1" ht="12.75" customHeight="1" x14ac:dyDescent="0.25">
      <c r="A20" s="8"/>
      <c r="B20" s="8"/>
      <c r="C20" s="8"/>
      <c r="D20" s="8"/>
      <c r="E20" s="8"/>
      <c r="F20" s="8"/>
      <c r="G20" s="8"/>
      <c r="H20" s="8"/>
      <c r="I20" s="11"/>
      <c r="J20" s="1115"/>
      <c r="K20" s="1115"/>
      <c r="L20" s="1115"/>
      <c r="M20" s="1115"/>
      <c r="N20" s="1115"/>
      <c r="O20" s="1115"/>
      <c r="P20" s="40"/>
      <c r="Q20" s="8"/>
      <c r="R20" s="8"/>
      <c r="S20" s="8"/>
      <c r="T20" s="8"/>
      <c r="U20" s="8"/>
      <c r="V20" s="713"/>
      <c r="W20" s="713"/>
      <c r="X20" s="713"/>
      <c r="Y20" s="713"/>
      <c r="Z20" s="713"/>
      <c r="AA20" s="713"/>
      <c r="AB20" s="713"/>
      <c r="AC20" s="713"/>
      <c r="AD20" s="713"/>
      <c r="AE20" s="713"/>
      <c r="AF20" s="713"/>
      <c r="AG20" s="713"/>
      <c r="AH20" s="713"/>
      <c r="AI20" s="713"/>
      <c r="AJ20" s="713"/>
      <c r="AK20" s="713"/>
      <c r="AL20" s="713"/>
      <c r="AM20" s="713"/>
      <c r="AN20" s="713"/>
      <c r="AO20" s="713"/>
      <c r="AP20" s="713"/>
      <c r="AQ20" s="715"/>
    </row>
    <row r="21" spans="1:43" s="707" customFormat="1" ht="12.75" customHeight="1" x14ac:dyDescent="0.25">
      <c r="A21" s="8"/>
      <c r="B21" s="8"/>
      <c r="C21" s="8"/>
      <c r="D21" s="8"/>
      <c r="E21" s="8"/>
      <c r="F21" s="8"/>
      <c r="G21" s="8"/>
      <c r="H21" s="8"/>
      <c r="I21" s="11"/>
      <c r="J21" s="1115"/>
      <c r="K21" s="1115"/>
      <c r="L21" s="1743" t="s">
        <v>200</v>
      </c>
      <c r="M21" s="1744"/>
      <c r="N21" s="1744"/>
      <c r="O21" s="1745"/>
      <c r="P21" s="1788" t="s">
        <v>201</v>
      </c>
      <c r="Q21" s="1789"/>
      <c r="R21" s="1789"/>
      <c r="S21" s="1790"/>
      <c r="T21" s="8"/>
      <c r="U21" s="8"/>
      <c r="V21" s="713"/>
      <c r="W21" s="713"/>
      <c r="X21" s="713"/>
      <c r="Y21" s="713"/>
      <c r="Z21" s="713"/>
      <c r="AA21" s="713"/>
      <c r="AB21" s="713"/>
      <c r="AC21" s="713"/>
      <c r="AD21" s="713"/>
      <c r="AE21" s="713"/>
      <c r="AF21" s="713"/>
      <c r="AG21" s="713"/>
      <c r="AH21" s="713"/>
      <c r="AI21" s="713"/>
      <c r="AJ21" s="713"/>
      <c r="AK21" s="713"/>
      <c r="AL21" s="713"/>
      <c r="AM21" s="713"/>
      <c r="AN21" s="713"/>
      <c r="AO21" s="713"/>
      <c r="AP21" s="713"/>
      <c r="AQ21" s="715"/>
    </row>
    <row r="22" spans="1:43" s="707" customFormat="1" ht="12.75" customHeight="1" x14ac:dyDescent="0.25">
      <c r="A22" s="8"/>
      <c r="B22" s="8"/>
      <c r="C22" s="8"/>
      <c r="D22" s="8"/>
      <c r="E22" s="8"/>
      <c r="F22" s="8"/>
      <c r="G22" s="8"/>
      <c r="H22" s="8"/>
      <c r="I22" s="11"/>
      <c r="J22" s="1115"/>
      <c r="K22" s="1115"/>
      <c r="L22" s="1785" t="s">
        <v>229</v>
      </c>
      <c r="M22" s="1786"/>
      <c r="N22" s="1786"/>
      <c r="O22" s="1787"/>
      <c r="P22" s="1667" t="s">
        <v>229</v>
      </c>
      <c r="Q22" s="1668"/>
      <c r="R22" s="1668"/>
      <c r="S22" s="1669"/>
      <c r="T22" s="8"/>
      <c r="U22" s="8"/>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5"/>
    </row>
    <row r="23" spans="1:43" s="707" customFormat="1" ht="38.700000000000003" customHeight="1" x14ac:dyDescent="0.25">
      <c r="A23" s="8"/>
      <c r="B23" s="8"/>
      <c r="C23" s="1125" t="s">
        <v>78</v>
      </c>
      <c r="D23" s="840"/>
      <c r="E23" s="840"/>
      <c r="F23" s="840"/>
      <c r="G23" s="840"/>
      <c r="H23" s="840"/>
      <c r="I23" s="840"/>
      <c r="J23" s="840"/>
      <c r="K23" s="840"/>
      <c r="L23" s="1119" t="s">
        <v>227</v>
      </c>
      <c r="M23" s="1119" t="s">
        <v>218</v>
      </c>
      <c r="N23" s="1120" t="s">
        <v>226</v>
      </c>
      <c r="O23" s="1121" t="s">
        <v>225</v>
      </c>
      <c r="P23" s="1122" t="s">
        <v>227</v>
      </c>
      <c r="Q23" s="1122" t="s">
        <v>218</v>
      </c>
      <c r="R23" s="1123" t="s">
        <v>226</v>
      </c>
      <c r="S23" s="1124" t="s">
        <v>225</v>
      </c>
      <c r="T23" s="8"/>
      <c r="U23" s="8"/>
      <c r="V23" s="713"/>
      <c r="W23" s="713"/>
      <c r="X23" s="713"/>
      <c r="Y23" s="713"/>
      <c r="Z23" s="713"/>
      <c r="AA23" s="713"/>
      <c r="AB23" s="713"/>
      <c r="AC23" s="713"/>
      <c r="AD23" s="713"/>
      <c r="AE23" s="713"/>
      <c r="AF23" s="713"/>
      <c r="AG23" s="713"/>
      <c r="AH23" s="713"/>
      <c r="AI23" s="713"/>
      <c r="AJ23" s="713"/>
      <c r="AK23" s="713"/>
      <c r="AL23" s="713"/>
      <c r="AM23" s="713"/>
      <c r="AN23" s="713"/>
      <c r="AO23" s="713"/>
      <c r="AP23" s="713"/>
      <c r="AQ23" s="715"/>
    </row>
    <row r="24" spans="1:43" s="707" customFormat="1" ht="12.75" customHeight="1" x14ac:dyDescent="0.25">
      <c r="A24" s="8"/>
      <c r="B24" s="8"/>
      <c r="C24" s="848" t="s">
        <v>151</v>
      </c>
      <c r="D24" s="57"/>
      <c r="E24" s="182"/>
      <c r="F24" s="57"/>
      <c r="G24" s="57"/>
      <c r="H24" s="57"/>
      <c r="I24" s="57"/>
      <c r="J24" s="57"/>
      <c r="K24" s="57"/>
      <c r="L24" s="1126">
        <f>'III. Inputs, Renewable Energy'!R74</f>
        <v>0</v>
      </c>
      <c r="M24" s="850" t="str">
        <f>'III. Inputs, Renewable Energy'!S74</f>
        <v>NA</v>
      </c>
      <c r="N24" s="851" t="str">
        <f>'III. Inputs, Renewable Energy'!T74</f>
        <v>NA</v>
      </c>
      <c r="O24" s="852" t="str">
        <f>'III. Inputs, Renewable Energy'!U74</f>
        <v>NA</v>
      </c>
      <c r="P24" s="853">
        <f>'III. Inputs, Renewable Energy'!V74</f>
        <v>0</v>
      </c>
      <c r="Q24" s="853" t="str">
        <f>'III. Inputs, Renewable Energy'!W74</f>
        <v>NA</v>
      </c>
      <c r="R24" s="854" t="str">
        <f>'III. Inputs, Renewable Energy'!X74</f>
        <v>NA</v>
      </c>
      <c r="S24" s="855" t="str">
        <f>'III. Inputs, Renewable Energy'!Y74</f>
        <v>NA</v>
      </c>
      <c r="T24" s="8"/>
      <c r="U24" s="8"/>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5"/>
    </row>
    <row r="25" spans="1:43" s="707" customFormat="1" ht="12.75" customHeight="1" x14ac:dyDescent="0.25">
      <c r="A25" s="8"/>
      <c r="B25" s="8"/>
      <c r="C25" s="856" t="s">
        <v>238</v>
      </c>
      <c r="D25" s="857"/>
      <c r="E25" s="857"/>
      <c r="F25" s="857"/>
      <c r="G25" s="857"/>
      <c r="H25" s="857"/>
      <c r="I25" s="857"/>
      <c r="J25" s="857"/>
      <c r="K25" s="857"/>
      <c r="L25" s="1138">
        <f>'III. Inputs, Renewable Energy'!R75</f>
        <v>0.1</v>
      </c>
      <c r="M25" s="1138">
        <f>'III. Inputs, Renewable Energy'!S75</f>
        <v>0</v>
      </c>
      <c r="N25" s="1139">
        <f>'III. Inputs, Renewable Energy'!T75</f>
        <v>0</v>
      </c>
      <c r="O25" s="1140">
        <f>'III. Inputs, Renewable Energy'!U75</f>
        <v>0.05</v>
      </c>
      <c r="P25" s="859">
        <f>'III. Inputs, Renewable Energy'!V75</f>
        <v>0.1</v>
      </c>
      <c r="Q25" s="859">
        <f>'III. Inputs, Renewable Energy'!W75</f>
        <v>0</v>
      </c>
      <c r="R25" s="860">
        <f>'III. Inputs, Renewable Energy'!X75</f>
        <v>0</v>
      </c>
      <c r="S25" s="861">
        <f>'III. Inputs, Renewable Energy'!Y75</f>
        <v>0.05</v>
      </c>
      <c r="T25" s="8"/>
      <c r="U25" s="8"/>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5"/>
    </row>
    <row r="26" spans="1:43" s="707" customFormat="1" ht="12.75" customHeight="1" x14ac:dyDescent="0.25">
      <c r="A26" s="8"/>
      <c r="B26" s="8"/>
      <c r="C26" s="56" t="s">
        <v>80</v>
      </c>
      <c r="D26" s="56"/>
      <c r="E26" s="56"/>
      <c r="F26" s="57"/>
      <c r="G26" s="57"/>
      <c r="H26" s="57"/>
      <c r="I26" s="57"/>
      <c r="J26" s="57"/>
      <c r="K26" s="57"/>
      <c r="L26" s="862">
        <f>'III. Inputs, Renewable Energy'!R76</f>
        <v>-0.1</v>
      </c>
      <c r="M26" s="862" t="str">
        <f>'III. Inputs, Renewable Energy'!S76</f>
        <v>NA</v>
      </c>
      <c r="N26" s="863" t="str">
        <f>'III. Inputs, Renewable Energy'!T76</f>
        <v>NA</v>
      </c>
      <c r="O26" s="863" t="str">
        <f>'III. Inputs, Renewable Energy'!U76</f>
        <v>NA</v>
      </c>
      <c r="P26" s="864">
        <f>'III. Inputs, Renewable Energy'!V76</f>
        <v>-0.1</v>
      </c>
      <c r="Q26" s="864" t="str">
        <f>'III. Inputs, Renewable Energy'!W76</f>
        <v>NA</v>
      </c>
      <c r="R26" s="865" t="str">
        <f>'III. Inputs, Renewable Energy'!X76</f>
        <v>NA</v>
      </c>
      <c r="S26" s="866" t="str">
        <f>'III. Inputs, Renewable Energy'!Y76</f>
        <v>NA</v>
      </c>
      <c r="T26" s="8"/>
      <c r="U26" s="8"/>
      <c r="V26" s="713"/>
      <c r="W26" s="713"/>
      <c r="X26" s="713"/>
      <c r="Y26" s="713"/>
      <c r="Z26" s="713"/>
      <c r="AA26" s="713"/>
      <c r="AB26" s="713"/>
      <c r="AC26" s="713"/>
      <c r="AD26" s="713"/>
      <c r="AE26" s="713"/>
      <c r="AF26" s="713"/>
      <c r="AG26" s="713"/>
      <c r="AH26" s="713"/>
      <c r="AI26" s="713"/>
      <c r="AJ26" s="713"/>
      <c r="AK26" s="713"/>
      <c r="AL26" s="713"/>
      <c r="AM26" s="713"/>
      <c r="AN26" s="713"/>
      <c r="AO26" s="713"/>
      <c r="AP26" s="713"/>
      <c r="AQ26" s="715"/>
    </row>
    <row r="27" spans="1:43" s="707" customFormat="1" ht="12.75" customHeight="1" x14ac:dyDescent="0.25">
      <c r="A27" s="8"/>
      <c r="B27" s="8"/>
      <c r="C27" s="8"/>
      <c r="D27" s="8"/>
      <c r="E27" s="8"/>
      <c r="F27" s="8"/>
      <c r="G27" s="8"/>
      <c r="H27" s="8"/>
      <c r="I27" s="11"/>
      <c r="J27" s="1115"/>
      <c r="K27" s="1115"/>
      <c r="L27" s="1115"/>
      <c r="M27" s="1115"/>
      <c r="N27" s="1115"/>
      <c r="O27" s="1115"/>
      <c r="P27" s="40"/>
      <c r="Q27" s="8"/>
      <c r="R27" s="8"/>
      <c r="S27" s="8"/>
      <c r="T27" s="8"/>
      <c r="U27" s="8"/>
      <c r="V27" s="713"/>
      <c r="W27" s="713"/>
      <c r="X27" s="713"/>
      <c r="Y27" s="713"/>
      <c r="Z27" s="713"/>
      <c r="AA27" s="713"/>
      <c r="AB27" s="713"/>
      <c r="AC27" s="713"/>
      <c r="AD27" s="713"/>
      <c r="AE27" s="713"/>
      <c r="AF27" s="713"/>
      <c r="AG27" s="713"/>
      <c r="AH27" s="713"/>
      <c r="AI27" s="713"/>
      <c r="AJ27" s="713"/>
      <c r="AK27" s="713"/>
      <c r="AL27" s="713"/>
      <c r="AM27" s="713"/>
      <c r="AN27" s="713"/>
      <c r="AO27" s="713"/>
      <c r="AP27" s="713"/>
      <c r="AQ27" s="715"/>
    </row>
    <row r="28" spans="1:43" s="707" customFormat="1" ht="12.75" customHeight="1" x14ac:dyDescent="0.25">
      <c r="A28" s="8"/>
      <c r="B28" s="8"/>
      <c r="C28" s="8"/>
      <c r="D28" s="8"/>
      <c r="E28" s="8"/>
      <c r="F28" s="8"/>
      <c r="G28" s="8"/>
      <c r="H28" s="8"/>
      <c r="I28" s="11"/>
      <c r="J28" s="1115"/>
      <c r="K28" s="1115"/>
      <c r="L28" s="1115"/>
      <c r="M28" s="1115"/>
      <c r="N28" s="1115"/>
      <c r="O28" s="1115"/>
      <c r="P28" s="40"/>
      <c r="Q28" s="8"/>
      <c r="R28" s="8"/>
      <c r="S28" s="8"/>
      <c r="T28" s="8"/>
      <c r="U28" s="8"/>
      <c r="V28" s="713"/>
      <c r="W28" s="713"/>
      <c r="X28" s="713"/>
      <c r="Y28" s="713"/>
      <c r="Z28" s="713"/>
      <c r="AA28" s="713"/>
      <c r="AB28" s="713"/>
      <c r="AC28" s="713"/>
      <c r="AD28" s="713"/>
      <c r="AE28" s="713"/>
      <c r="AF28" s="713"/>
      <c r="AG28" s="713"/>
      <c r="AH28" s="713"/>
      <c r="AI28" s="713"/>
      <c r="AJ28" s="713"/>
      <c r="AK28" s="713"/>
      <c r="AL28" s="713"/>
      <c r="AM28" s="713"/>
      <c r="AN28" s="713"/>
      <c r="AO28" s="713"/>
      <c r="AP28" s="713"/>
      <c r="AQ28" s="715"/>
    </row>
    <row r="29" spans="1:43" s="707" customFormat="1" ht="12.75" customHeight="1" x14ac:dyDescent="0.25">
      <c r="A29" s="8"/>
      <c r="B29" s="8"/>
      <c r="C29" s="8"/>
      <c r="D29" s="8"/>
      <c r="E29" s="8"/>
      <c r="F29" s="8"/>
      <c r="G29" s="8"/>
      <c r="H29" s="8"/>
      <c r="I29" s="11"/>
      <c r="J29" s="1115"/>
      <c r="K29" s="1115"/>
      <c r="L29" s="1743" t="s">
        <v>200</v>
      </c>
      <c r="M29" s="1744"/>
      <c r="N29" s="1744"/>
      <c r="O29" s="1745"/>
      <c r="P29" s="1788" t="s">
        <v>201</v>
      </c>
      <c r="Q29" s="1789"/>
      <c r="R29" s="1789"/>
      <c r="S29" s="1790"/>
      <c r="T29" s="8"/>
      <c r="U29" s="8"/>
      <c r="V29" s="713"/>
      <c r="W29" s="713"/>
      <c r="X29" s="713"/>
      <c r="Y29" s="713"/>
      <c r="Z29" s="713"/>
      <c r="AA29" s="713"/>
      <c r="AB29" s="713"/>
      <c r="AC29" s="713"/>
      <c r="AD29" s="713"/>
      <c r="AE29" s="713"/>
      <c r="AF29" s="713"/>
      <c r="AG29" s="713"/>
      <c r="AH29" s="713"/>
      <c r="AI29" s="713"/>
      <c r="AJ29" s="713"/>
      <c r="AK29" s="713"/>
      <c r="AL29" s="713"/>
      <c r="AM29" s="713"/>
      <c r="AN29" s="713"/>
      <c r="AO29" s="713"/>
      <c r="AP29" s="713"/>
      <c r="AQ29" s="715"/>
    </row>
    <row r="30" spans="1:43" s="707" customFormat="1" ht="12.75" customHeight="1" x14ac:dyDescent="0.25">
      <c r="A30" s="8"/>
      <c r="B30" s="8"/>
      <c r="C30" s="8"/>
      <c r="D30" s="8"/>
      <c r="E30" s="8"/>
      <c r="F30" s="8"/>
      <c r="G30" s="8"/>
      <c r="H30" s="8"/>
      <c r="I30" s="11"/>
      <c r="J30" s="1115"/>
      <c r="K30" s="1115"/>
      <c r="L30" s="1785" t="s">
        <v>229</v>
      </c>
      <c r="M30" s="1786"/>
      <c r="N30" s="1786"/>
      <c r="O30" s="1787"/>
      <c r="P30" s="1667" t="s">
        <v>229</v>
      </c>
      <c r="Q30" s="1668"/>
      <c r="R30" s="1668"/>
      <c r="S30" s="1669"/>
      <c r="T30" s="8"/>
      <c r="U30" s="8"/>
      <c r="V30" s="713"/>
      <c r="W30" s="713"/>
      <c r="X30" s="713"/>
      <c r="Y30" s="713"/>
      <c r="Z30" s="713"/>
      <c r="AA30" s="713"/>
      <c r="AB30" s="713"/>
      <c r="AC30" s="713"/>
      <c r="AD30" s="713"/>
      <c r="AE30" s="713"/>
      <c r="AF30" s="713"/>
      <c r="AG30" s="713"/>
      <c r="AH30" s="713"/>
      <c r="AI30" s="713"/>
      <c r="AJ30" s="713"/>
      <c r="AK30" s="713"/>
      <c r="AL30" s="713"/>
      <c r="AM30" s="713"/>
      <c r="AN30" s="713"/>
      <c r="AO30" s="713"/>
      <c r="AP30" s="713"/>
      <c r="AQ30" s="715"/>
    </row>
    <row r="31" spans="1:43" s="707" customFormat="1" ht="39.450000000000003" customHeight="1" x14ac:dyDescent="0.25">
      <c r="A31" s="8"/>
      <c r="B31" s="8"/>
      <c r="C31" s="867" t="s">
        <v>230</v>
      </c>
      <c r="D31" s="868"/>
      <c r="E31" s="55"/>
      <c r="F31" s="868"/>
      <c r="G31" s="868"/>
      <c r="H31" s="868"/>
      <c r="I31" s="868"/>
      <c r="J31" s="868"/>
      <c r="K31" s="868"/>
      <c r="L31" s="1119" t="s">
        <v>227</v>
      </c>
      <c r="M31" s="1119" t="s">
        <v>218</v>
      </c>
      <c r="N31" s="1120" t="s">
        <v>226</v>
      </c>
      <c r="O31" s="1121" t="s">
        <v>225</v>
      </c>
      <c r="P31" s="1122" t="s">
        <v>227</v>
      </c>
      <c r="Q31" s="1122" t="s">
        <v>218</v>
      </c>
      <c r="R31" s="1123" t="s">
        <v>226</v>
      </c>
      <c r="S31" s="1124" t="s">
        <v>225</v>
      </c>
      <c r="T31" s="8"/>
      <c r="U31" s="8"/>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5"/>
    </row>
    <row r="32" spans="1:43" s="707" customFormat="1" ht="12.75" customHeight="1" x14ac:dyDescent="0.25">
      <c r="A32" s="8"/>
      <c r="B32" s="8"/>
      <c r="C32" s="836" t="str">
        <f>'III. Inputs, Renewable Energy'!D83</f>
        <v>Power Market Risk</v>
      </c>
      <c r="D32" s="57"/>
      <c r="E32" s="57"/>
      <c r="F32" s="57"/>
      <c r="G32" s="8"/>
      <c r="H32" s="8"/>
      <c r="I32" s="11"/>
      <c r="J32" s="1115"/>
      <c r="K32" s="1115"/>
      <c r="L32" s="1141">
        <f>'III. Inputs, Renewable Energy'!R83</f>
        <v>1.2E-2</v>
      </c>
      <c r="M32" s="1141">
        <f>'III. Inputs, Renewable Energy'!S83</f>
        <v>0</v>
      </c>
      <c r="N32" s="1142">
        <f>'III. Inputs, Renewable Energy'!T83</f>
        <v>0</v>
      </c>
      <c r="O32" s="1143">
        <f>'III. Inputs, Renewable Energy'!U83</f>
        <v>0.01</v>
      </c>
      <c r="P32" s="870">
        <f>'III. Inputs, Renewable Energy'!V83</f>
        <v>1.2E-2</v>
      </c>
      <c r="Q32" s="871">
        <f>'III. Inputs, Renewable Energy'!W83</f>
        <v>0</v>
      </c>
      <c r="R32" s="872">
        <f>'III. Inputs, Renewable Energy'!X83</f>
        <v>0</v>
      </c>
      <c r="S32" s="873">
        <f>'III. Inputs, Renewable Energy'!Y83</f>
        <v>0.01</v>
      </c>
      <c r="T32" s="8"/>
      <c r="U32" s="8"/>
      <c r="V32" s="713"/>
      <c r="W32" s="713"/>
      <c r="X32" s="713"/>
      <c r="Y32" s="713"/>
      <c r="Z32" s="713"/>
      <c r="AA32" s="713"/>
      <c r="AB32" s="713"/>
      <c r="AC32" s="713"/>
      <c r="AD32" s="713"/>
      <c r="AE32" s="713"/>
      <c r="AF32" s="713"/>
      <c r="AG32" s="713"/>
      <c r="AH32" s="713"/>
      <c r="AI32" s="713"/>
      <c r="AJ32" s="713"/>
      <c r="AK32" s="713"/>
      <c r="AL32" s="713"/>
      <c r="AM32" s="713"/>
      <c r="AN32" s="713"/>
      <c r="AO32" s="713"/>
      <c r="AP32" s="713"/>
      <c r="AQ32" s="715"/>
    </row>
    <row r="33" spans="1:43" s="707" customFormat="1" ht="12.75" customHeight="1" x14ac:dyDescent="0.25">
      <c r="A33" s="8"/>
      <c r="B33" s="8"/>
      <c r="C33" s="836" t="str">
        <f>'III. Inputs, Renewable Energy'!D84</f>
        <v>Permits Risk</v>
      </c>
      <c r="D33" s="57"/>
      <c r="E33" s="57"/>
      <c r="F33" s="57"/>
      <c r="G33" s="8"/>
      <c r="H33" s="8"/>
      <c r="I33" s="11"/>
      <c r="J33" s="1115"/>
      <c r="K33" s="1115"/>
      <c r="L33" s="1141">
        <f>'III. Inputs, Renewable Energy'!R84</f>
        <v>8.0000000000000002E-3</v>
      </c>
      <c r="M33" s="1141" t="str">
        <f>'III. Inputs, Renewable Energy'!S84</f>
        <v>NA</v>
      </c>
      <c r="N33" s="1144" t="str">
        <f>'III. Inputs, Renewable Energy'!T84</f>
        <v>NA</v>
      </c>
      <c r="O33" s="1143" t="str">
        <f>'III. Inputs, Renewable Energy'!U84</f>
        <v>NA</v>
      </c>
      <c r="P33" s="870">
        <f>'III. Inputs, Renewable Energy'!V84</f>
        <v>8.0000000000000002E-3</v>
      </c>
      <c r="Q33" s="874" t="str">
        <f>'III. Inputs, Renewable Energy'!W84</f>
        <v>NA</v>
      </c>
      <c r="R33" s="875" t="str">
        <f>'III. Inputs, Renewable Energy'!X84</f>
        <v>NA</v>
      </c>
      <c r="S33" s="876" t="str">
        <f>'III. Inputs, Renewable Energy'!Y84</f>
        <v>NA</v>
      </c>
      <c r="T33" s="8"/>
      <c r="U33" s="8"/>
      <c r="V33" s="713"/>
      <c r="W33" s="713"/>
      <c r="X33" s="713"/>
      <c r="Y33" s="713"/>
      <c r="Z33" s="713"/>
      <c r="AA33" s="713"/>
      <c r="AB33" s="713"/>
      <c r="AC33" s="713"/>
      <c r="AD33" s="713"/>
      <c r="AE33" s="713"/>
      <c r="AF33" s="713"/>
      <c r="AG33" s="713"/>
      <c r="AH33" s="713"/>
      <c r="AI33" s="713"/>
      <c r="AJ33" s="713"/>
      <c r="AK33" s="713"/>
      <c r="AL33" s="713"/>
      <c r="AM33" s="713"/>
      <c r="AN33" s="713"/>
      <c r="AO33" s="713"/>
      <c r="AP33" s="713"/>
      <c r="AQ33" s="715"/>
    </row>
    <row r="34" spans="1:43" s="707" customFormat="1" ht="12.75" customHeight="1" x14ac:dyDescent="0.25">
      <c r="A34" s="8"/>
      <c r="B34" s="8"/>
      <c r="C34" s="836" t="str">
        <f>'III. Inputs, Renewable Energy'!D85</f>
        <v>Social Acceptance Risk</v>
      </c>
      <c r="D34" s="57"/>
      <c r="E34" s="57"/>
      <c r="F34" s="57"/>
      <c r="G34" s="8"/>
      <c r="H34" s="8"/>
      <c r="I34" s="11"/>
      <c r="J34" s="1115"/>
      <c r="K34" s="1115"/>
      <c r="L34" s="1141">
        <f>'III. Inputs, Renewable Energy'!R85</f>
        <v>5.0000000000000001E-3</v>
      </c>
      <c r="M34" s="1141">
        <f>'III. Inputs, Renewable Energy'!S85</f>
        <v>0</v>
      </c>
      <c r="N34" s="1144">
        <f>'III. Inputs, Renewable Energy'!T85</f>
        <v>0</v>
      </c>
      <c r="O34" s="1143">
        <f>'III. Inputs, Renewable Energy'!U85</f>
        <v>4.0000000000000001E-3</v>
      </c>
      <c r="P34" s="870">
        <f>'III. Inputs, Renewable Energy'!V85</f>
        <v>5.0000000000000001E-3</v>
      </c>
      <c r="Q34" s="874">
        <f>'III. Inputs, Renewable Energy'!W85</f>
        <v>0</v>
      </c>
      <c r="R34" s="875">
        <f>'III. Inputs, Renewable Energy'!X85</f>
        <v>0</v>
      </c>
      <c r="S34" s="876">
        <f>'III. Inputs, Renewable Energy'!Y85</f>
        <v>4.0000000000000001E-3</v>
      </c>
      <c r="T34" s="8"/>
      <c r="U34" s="8"/>
      <c r="V34" s="713"/>
      <c r="W34" s="713"/>
      <c r="X34" s="713"/>
      <c r="Y34" s="713"/>
      <c r="Z34" s="713"/>
      <c r="AA34" s="713"/>
      <c r="AB34" s="713"/>
      <c r="AC34" s="713"/>
      <c r="AD34" s="713"/>
      <c r="AE34" s="713"/>
      <c r="AF34" s="713"/>
      <c r="AG34" s="713"/>
      <c r="AH34" s="713"/>
      <c r="AI34" s="713"/>
      <c r="AJ34" s="713"/>
      <c r="AK34" s="713"/>
      <c r="AL34" s="713"/>
      <c r="AM34" s="713"/>
      <c r="AN34" s="713"/>
      <c r="AO34" s="713"/>
      <c r="AP34" s="713"/>
      <c r="AQ34" s="715"/>
    </row>
    <row r="35" spans="1:43" s="707" customFormat="1" ht="12.75" customHeight="1" x14ac:dyDescent="0.25">
      <c r="A35" s="8"/>
      <c r="B35" s="8"/>
      <c r="C35" s="836" t="str">
        <f>'III. Inputs, Renewable Energy'!D86</f>
        <v>Resource &amp; Technology Risk</v>
      </c>
      <c r="D35" s="57"/>
      <c r="E35" s="57"/>
      <c r="F35" s="57"/>
      <c r="G35" s="8"/>
      <c r="H35" s="8"/>
      <c r="I35" s="11"/>
      <c r="J35" s="1115"/>
      <c r="K35" s="1115"/>
      <c r="L35" s="1141">
        <f>'III. Inputs, Renewable Energy'!R86</f>
        <v>8.9999999999999993E-3</v>
      </c>
      <c r="M35" s="1141">
        <f>'III. Inputs, Renewable Energy'!S86</f>
        <v>0</v>
      </c>
      <c r="N35" s="1144">
        <f>'III. Inputs, Renewable Energy'!T86</f>
        <v>0</v>
      </c>
      <c r="O35" s="1143">
        <f>'III. Inputs, Renewable Energy'!U86</f>
        <v>7.0000000000000001E-3</v>
      </c>
      <c r="P35" s="870">
        <f>'III. Inputs, Renewable Energy'!V86</f>
        <v>8.9999999999999993E-3</v>
      </c>
      <c r="Q35" s="874">
        <f>'III. Inputs, Renewable Energy'!W86</f>
        <v>0</v>
      </c>
      <c r="R35" s="875">
        <f>'III. Inputs, Renewable Energy'!X86</f>
        <v>0</v>
      </c>
      <c r="S35" s="876">
        <f>'III. Inputs, Renewable Energy'!Y86</f>
        <v>7.0000000000000001E-3</v>
      </c>
      <c r="T35" s="8"/>
      <c r="U35" s="8"/>
      <c r="V35" s="713"/>
      <c r="W35" s="713"/>
      <c r="X35" s="713"/>
      <c r="Y35" s="713"/>
      <c r="Z35" s="713"/>
      <c r="AA35" s="713"/>
      <c r="AB35" s="713"/>
      <c r="AC35" s="713"/>
      <c r="AD35" s="713"/>
      <c r="AE35" s="713"/>
      <c r="AF35" s="713"/>
      <c r="AG35" s="713"/>
      <c r="AH35" s="713"/>
      <c r="AI35" s="713"/>
      <c r="AJ35" s="713"/>
      <c r="AK35" s="713"/>
      <c r="AL35" s="713"/>
      <c r="AM35" s="713"/>
      <c r="AN35" s="713"/>
      <c r="AO35" s="713"/>
      <c r="AP35" s="713"/>
      <c r="AQ35" s="715"/>
    </row>
    <row r="36" spans="1:43" s="707" customFormat="1" ht="12.75" customHeight="1" x14ac:dyDescent="0.25">
      <c r="A36" s="8"/>
      <c r="B36" s="8"/>
      <c r="C36" s="836" t="str">
        <f>'III. Inputs, Renewable Energy'!D87</f>
        <v>Grid/Transmission Risk</v>
      </c>
      <c r="D36" s="57"/>
      <c r="E36" s="57"/>
      <c r="F36" s="57"/>
      <c r="G36" s="8"/>
      <c r="H36" s="8"/>
      <c r="I36" s="11"/>
      <c r="J36" s="1115"/>
      <c r="K36" s="1115"/>
      <c r="L36" s="1141">
        <f>'III. Inputs, Renewable Energy'!R87</f>
        <v>0.01</v>
      </c>
      <c r="M36" s="1141">
        <f>'III. Inputs, Renewable Energy'!S87</f>
        <v>0</v>
      </c>
      <c r="N36" s="1144">
        <f>'III. Inputs, Renewable Energy'!T87</f>
        <v>0</v>
      </c>
      <c r="O36" s="1143">
        <f>'III. Inputs, Renewable Energy'!U87</f>
        <v>7.0000000000000001E-3</v>
      </c>
      <c r="P36" s="870">
        <f>'III. Inputs, Renewable Energy'!V87</f>
        <v>0.01</v>
      </c>
      <c r="Q36" s="874">
        <f>'III. Inputs, Renewable Energy'!W87</f>
        <v>0</v>
      </c>
      <c r="R36" s="875">
        <f>'III. Inputs, Renewable Energy'!X87</f>
        <v>0</v>
      </c>
      <c r="S36" s="876">
        <f>'III. Inputs, Renewable Energy'!Y87</f>
        <v>7.0000000000000001E-3</v>
      </c>
      <c r="T36" s="8"/>
      <c r="U36" s="8"/>
      <c r="V36" s="713"/>
      <c r="W36" s="713"/>
      <c r="X36" s="713"/>
      <c r="Y36" s="713"/>
      <c r="Z36" s="713"/>
      <c r="AA36" s="713"/>
      <c r="AB36" s="713"/>
      <c r="AC36" s="713"/>
      <c r="AD36" s="713"/>
      <c r="AE36" s="713"/>
      <c r="AF36" s="713"/>
      <c r="AG36" s="713"/>
      <c r="AH36" s="713"/>
      <c r="AI36" s="713"/>
      <c r="AJ36" s="713"/>
      <c r="AK36" s="713"/>
      <c r="AL36" s="713"/>
      <c r="AM36" s="713"/>
      <c r="AN36" s="713"/>
      <c r="AO36" s="713"/>
      <c r="AP36" s="713"/>
      <c r="AQ36" s="715"/>
    </row>
    <row r="37" spans="1:43" s="707" customFormat="1" ht="12.75" customHeight="1" x14ac:dyDescent="0.25">
      <c r="A37" s="8"/>
      <c r="B37" s="8"/>
      <c r="C37" s="836" t="str">
        <f>'III. Inputs, Renewable Energy'!D88</f>
        <v>Counterparty Risk</v>
      </c>
      <c r="D37" s="57"/>
      <c r="E37" s="57"/>
      <c r="F37" s="57"/>
      <c r="G37" s="8"/>
      <c r="H37" s="8"/>
      <c r="I37" s="11"/>
      <c r="J37" s="1115"/>
      <c r="K37" s="1115"/>
      <c r="L37" s="1141">
        <f>'III. Inputs, Renewable Energy'!R88</f>
        <v>1.2E-2</v>
      </c>
      <c r="M37" s="1141">
        <f>'III. Inputs, Renewable Energy'!S88</f>
        <v>0</v>
      </c>
      <c r="N37" s="1144">
        <f>'III. Inputs, Renewable Energy'!T88</f>
        <v>0</v>
      </c>
      <c r="O37" s="1143">
        <f>'III. Inputs, Renewable Energy'!U88</f>
        <v>0.01</v>
      </c>
      <c r="P37" s="870">
        <f>'III. Inputs, Renewable Energy'!V88</f>
        <v>1.2E-2</v>
      </c>
      <c r="Q37" s="874">
        <f>'III. Inputs, Renewable Energy'!W88</f>
        <v>0</v>
      </c>
      <c r="R37" s="875">
        <f>'III. Inputs, Renewable Energy'!X88</f>
        <v>0</v>
      </c>
      <c r="S37" s="876">
        <f>'III. Inputs, Renewable Energy'!Y88</f>
        <v>0.01</v>
      </c>
      <c r="T37" s="8"/>
      <c r="U37" s="8"/>
      <c r="V37" s="713"/>
      <c r="W37" s="713"/>
      <c r="X37" s="713"/>
      <c r="Y37" s="713"/>
      <c r="Z37" s="713"/>
      <c r="AA37" s="713"/>
      <c r="AB37" s="713"/>
      <c r="AC37" s="713"/>
      <c r="AD37" s="713"/>
      <c r="AE37" s="713"/>
      <c r="AF37" s="713"/>
      <c r="AG37" s="713"/>
      <c r="AH37" s="713"/>
      <c r="AI37" s="713"/>
      <c r="AJ37" s="713"/>
      <c r="AK37" s="713"/>
      <c r="AL37" s="713"/>
      <c r="AM37" s="713"/>
      <c r="AN37" s="713"/>
      <c r="AO37" s="713"/>
      <c r="AP37" s="713"/>
      <c r="AQ37" s="715"/>
    </row>
    <row r="38" spans="1:43" s="707" customFormat="1" ht="12.75" customHeight="1" x14ac:dyDescent="0.25">
      <c r="A38" s="8"/>
      <c r="B38" s="8"/>
      <c r="C38" s="836" t="str">
        <f>'III. Inputs, Renewable Energy'!D89</f>
        <v>Financial Sector Risk</v>
      </c>
      <c r="D38" s="57"/>
      <c r="E38" s="57"/>
      <c r="F38" s="57"/>
      <c r="G38" s="8"/>
      <c r="H38" s="8"/>
      <c r="I38" s="11"/>
      <c r="J38" s="1115"/>
      <c r="K38" s="1115"/>
      <c r="L38" s="1141">
        <f>'III. Inputs, Renewable Energy'!R89</f>
        <v>7.0000000000000001E-3</v>
      </c>
      <c r="M38" s="1141" t="str">
        <f>'III. Inputs, Renewable Energy'!S89</f>
        <v>NA</v>
      </c>
      <c r="N38" s="1144" t="str">
        <f>'III. Inputs, Renewable Energy'!T89</f>
        <v>NA</v>
      </c>
      <c r="O38" s="1143" t="str">
        <f>'III. Inputs, Renewable Energy'!U89</f>
        <v>NA</v>
      </c>
      <c r="P38" s="870">
        <f>'III. Inputs, Renewable Energy'!V89</f>
        <v>7.0000000000000001E-3</v>
      </c>
      <c r="Q38" s="874" t="str">
        <f>'III. Inputs, Renewable Energy'!W89</f>
        <v>NA</v>
      </c>
      <c r="R38" s="875" t="str">
        <f>'III. Inputs, Renewable Energy'!X89</f>
        <v>NA</v>
      </c>
      <c r="S38" s="876" t="str">
        <f>'III. Inputs, Renewable Energy'!Y89</f>
        <v>NA</v>
      </c>
      <c r="T38" s="8"/>
      <c r="U38" s="8"/>
      <c r="V38" s="713"/>
      <c r="W38" s="713"/>
      <c r="X38" s="713"/>
      <c r="Y38" s="713"/>
      <c r="Z38" s="713"/>
      <c r="AA38" s="713"/>
      <c r="AB38" s="713"/>
      <c r="AC38" s="713"/>
      <c r="AD38" s="713"/>
      <c r="AE38" s="713"/>
      <c r="AF38" s="713"/>
      <c r="AG38" s="713"/>
      <c r="AH38" s="713"/>
      <c r="AI38" s="713"/>
      <c r="AJ38" s="713"/>
      <c r="AK38" s="713"/>
      <c r="AL38" s="713"/>
      <c r="AM38" s="713"/>
      <c r="AN38" s="713"/>
      <c r="AO38" s="713"/>
      <c r="AP38" s="713"/>
      <c r="AQ38" s="715"/>
    </row>
    <row r="39" spans="1:43" s="707" customFormat="1" ht="12.75" customHeight="1" x14ac:dyDescent="0.25">
      <c r="A39" s="8"/>
      <c r="B39" s="8"/>
      <c r="C39" s="836" t="str">
        <f>'III. Inputs, Renewable Energy'!D90</f>
        <v>Political Risk</v>
      </c>
      <c r="D39" s="57"/>
      <c r="E39" s="57"/>
      <c r="F39" s="57"/>
      <c r="G39" s="8"/>
      <c r="H39" s="8"/>
      <c r="I39" s="11"/>
      <c r="J39" s="1115"/>
      <c r="K39" s="1115"/>
      <c r="L39" s="1141">
        <f>'III. Inputs, Renewable Energy'!R90</f>
        <v>1.2999999999999999E-2</v>
      </c>
      <c r="M39" s="1141">
        <f>'III. Inputs, Renewable Energy'!S90</f>
        <v>0</v>
      </c>
      <c r="N39" s="1144">
        <f>'III. Inputs, Renewable Energy'!T90</f>
        <v>0</v>
      </c>
      <c r="O39" s="1143">
        <f>'III. Inputs, Renewable Energy'!U90</f>
        <v>8.9999999999999993E-3</v>
      </c>
      <c r="P39" s="870">
        <f>'III. Inputs, Renewable Energy'!V90</f>
        <v>1.2999999999999999E-2</v>
      </c>
      <c r="Q39" s="874">
        <f>'III. Inputs, Renewable Energy'!W90</f>
        <v>0</v>
      </c>
      <c r="R39" s="875">
        <f>'III. Inputs, Renewable Energy'!X90</f>
        <v>0</v>
      </c>
      <c r="S39" s="876">
        <f>'III. Inputs, Renewable Energy'!Y90</f>
        <v>8.9999999999999993E-3</v>
      </c>
      <c r="T39" s="8"/>
      <c r="U39" s="8"/>
      <c r="V39" s="713"/>
      <c r="W39" s="713"/>
      <c r="X39" s="713"/>
      <c r="Y39" s="713"/>
      <c r="Z39" s="713"/>
      <c r="AA39" s="713"/>
      <c r="AB39" s="713"/>
      <c r="AC39" s="713"/>
      <c r="AD39" s="713"/>
      <c r="AE39" s="713"/>
      <c r="AF39" s="713"/>
      <c r="AG39" s="713"/>
      <c r="AH39" s="713"/>
      <c r="AI39" s="713"/>
      <c r="AJ39" s="713"/>
      <c r="AK39" s="713"/>
      <c r="AL39" s="713"/>
      <c r="AM39" s="713"/>
      <c r="AN39" s="713"/>
      <c r="AO39" s="713"/>
      <c r="AP39" s="713"/>
      <c r="AQ39" s="715"/>
    </row>
    <row r="40" spans="1:43" s="707" customFormat="1" ht="12.75" customHeight="1" x14ac:dyDescent="0.25">
      <c r="A40" s="8"/>
      <c r="B40" s="8"/>
      <c r="C40" s="857" t="str">
        <f>'III. Inputs, Renewable Energy'!D91</f>
        <v>Currency/Macro Risk</v>
      </c>
      <c r="D40" s="857"/>
      <c r="E40" s="857"/>
      <c r="F40" s="857"/>
      <c r="G40" s="857"/>
      <c r="H40" s="857"/>
      <c r="I40" s="857"/>
      <c r="J40" s="857"/>
      <c r="K40" s="857"/>
      <c r="L40" s="1145">
        <f>'III. Inputs, Renewable Energy'!R91</f>
        <v>4.0000000000000001E-3</v>
      </c>
      <c r="M40" s="1141">
        <f>'III. Inputs, Renewable Energy'!S91</f>
        <v>0</v>
      </c>
      <c r="N40" s="1144">
        <f>'III. Inputs, Renewable Energy'!T91</f>
        <v>0</v>
      </c>
      <c r="O40" s="1146">
        <f>'III. Inputs, Renewable Energy'!U91</f>
        <v>3.0000000000000001E-3</v>
      </c>
      <c r="P40" s="877">
        <f>'III. Inputs, Renewable Energy'!V91</f>
        <v>4.0000000000000001E-3</v>
      </c>
      <c r="Q40" s="877">
        <f>'III. Inputs, Renewable Energy'!W91</f>
        <v>0</v>
      </c>
      <c r="R40" s="878">
        <f>'III. Inputs, Renewable Energy'!X91</f>
        <v>0</v>
      </c>
      <c r="S40" s="879">
        <f>'III. Inputs, Renewable Energy'!Y91</f>
        <v>3.0000000000000001E-3</v>
      </c>
      <c r="T40" s="8"/>
      <c r="U40" s="8"/>
      <c r="V40" s="713"/>
      <c r="W40" s="713"/>
      <c r="X40" s="713"/>
      <c r="Y40" s="713"/>
      <c r="Z40" s="713"/>
      <c r="AA40" s="713"/>
      <c r="AB40" s="713"/>
      <c r="AC40" s="713"/>
      <c r="AD40" s="713"/>
      <c r="AE40" s="713"/>
      <c r="AF40" s="713"/>
      <c r="AG40" s="713"/>
      <c r="AH40" s="713"/>
      <c r="AI40" s="713"/>
      <c r="AJ40" s="713"/>
      <c r="AK40" s="713"/>
      <c r="AL40" s="713"/>
      <c r="AM40" s="713"/>
      <c r="AN40" s="713"/>
      <c r="AO40" s="713"/>
      <c r="AP40" s="713"/>
      <c r="AQ40" s="715"/>
    </row>
    <row r="41" spans="1:43" s="707" customFormat="1" ht="12.75" customHeight="1" x14ac:dyDescent="0.25">
      <c r="A41" s="8"/>
      <c r="B41" s="8"/>
      <c r="C41" s="56" t="s">
        <v>81</v>
      </c>
      <c r="D41" s="132"/>
      <c r="E41" s="56"/>
      <c r="F41" s="57"/>
      <c r="G41" s="57"/>
      <c r="H41" s="57"/>
      <c r="I41" s="57"/>
      <c r="J41" s="57"/>
      <c r="K41" s="57"/>
      <c r="L41" s="880">
        <f>'III. Inputs, Renewable Energy'!R92</f>
        <v>8.0000000000000016E-2</v>
      </c>
      <c r="M41" s="881" t="str">
        <f>'III. Inputs, Renewable Energy'!S92</f>
        <v>NA</v>
      </c>
      <c r="N41" s="882" t="str">
        <f>'III. Inputs, Renewable Energy'!T92</f>
        <v>NA</v>
      </c>
      <c r="O41" s="883" t="str">
        <f>'III. Inputs, Renewable Energy'!U92</f>
        <v>NA</v>
      </c>
      <c r="P41" s="884">
        <f>'III. Inputs, Renewable Energy'!V92</f>
        <v>8.0000000000000016E-2</v>
      </c>
      <c r="Q41" s="885">
        <f>'III. Inputs, Renewable Energy'!W92</f>
        <v>0</v>
      </c>
      <c r="R41" s="886">
        <f>'III. Inputs, Renewable Energy'!X92</f>
        <v>0</v>
      </c>
      <c r="S41" s="887">
        <f>'III. Inputs, Renewable Energy'!Y92</f>
        <v>0.05</v>
      </c>
      <c r="T41" s="8"/>
      <c r="U41" s="8"/>
      <c r="V41" s="713"/>
      <c r="W41" s="713"/>
      <c r="X41" s="713"/>
      <c r="Y41" s="713"/>
      <c r="Z41" s="713"/>
      <c r="AA41" s="713"/>
      <c r="AB41" s="713"/>
      <c r="AC41" s="713"/>
      <c r="AD41" s="713"/>
      <c r="AE41" s="713"/>
      <c r="AF41" s="713"/>
      <c r="AG41" s="713"/>
      <c r="AH41" s="713"/>
      <c r="AI41" s="713"/>
      <c r="AJ41" s="713"/>
      <c r="AK41" s="713"/>
      <c r="AL41" s="713"/>
      <c r="AM41" s="713"/>
      <c r="AN41" s="713"/>
      <c r="AO41" s="713"/>
      <c r="AP41" s="713"/>
      <c r="AQ41" s="715"/>
    </row>
    <row r="42" spans="1:43" s="707" customFormat="1" ht="12.75" customHeight="1" x14ac:dyDescent="0.25">
      <c r="A42" s="8"/>
      <c r="B42" s="8"/>
      <c r="C42" s="8"/>
      <c r="D42" s="8"/>
      <c r="E42" s="8"/>
      <c r="F42" s="8"/>
      <c r="G42" s="8"/>
      <c r="H42" s="8"/>
      <c r="I42" s="11"/>
      <c r="J42" s="1115"/>
      <c r="K42" s="1115"/>
      <c r="L42" s="1115"/>
      <c r="M42" s="1115"/>
      <c r="N42" s="1115"/>
      <c r="O42" s="1115"/>
      <c r="P42" s="40"/>
      <c r="Q42" s="8"/>
      <c r="R42" s="8"/>
      <c r="S42" s="8"/>
      <c r="T42" s="8"/>
      <c r="U42" s="8"/>
      <c r="V42" s="713"/>
      <c r="W42" s="713"/>
      <c r="X42" s="713"/>
      <c r="Y42" s="713"/>
      <c r="Z42" s="713"/>
      <c r="AA42" s="713"/>
      <c r="AB42" s="713"/>
      <c r="AC42" s="713"/>
      <c r="AD42" s="713"/>
      <c r="AE42" s="713"/>
      <c r="AF42" s="713"/>
      <c r="AG42" s="713"/>
      <c r="AH42" s="713"/>
      <c r="AI42" s="713"/>
      <c r="AJ42" s="713"/>
      <c r="AK42" s="713"/>
      <c r="AL42" s="713"/>
      <c r="AM42" s="713"/>
      <c r="AN42" s="713"/>
      <c r="AO42" s="713"/>
      <c r="AP42" s="713"/>
      <c r="AQ42" s="715"/>
    </row>
    <row r="43" spans="1:43" s="707" customFormat="1" ht="12.75" customHeight="1" x14ac:dyDescent="0.25">
      <c r="A43" s="8"/>
      <c r="B43" s="8"/>
      <c r="C43" s="8"/>
      <c r="D43" s="8"/>
      <c r="E43" s="8"/>
      <c r="F43" s="8"/>
      <c r="G43" s="8"/>
      <c r="H43" s="8"/>
      <c r="I43" s="11"/>
      <c r="J43" s="1115"/>
      <c r="K43" s="1115"/>
      <c r="L43" s="1115"/>
      <c r="M43" s="1115"/>
      <c r="N43" s="1115"/>
      <c r="O43" s="1115"/>
      <c r="P43" s="40"/>
      <c r="Q43" s="8"/>
      <c r="R43" s="8"/>
      <c r="S43" s="8"/>
      <c r="T43" s="8"/>
      <c r="U43" s="8"/>
      <c r="V43" s="713"/>
      <c r="W43" s="713"/>
      <c r="X43" s="713"/>
      <c r="Y43" s="713"/>
      <c r="Z43" s="713"/>
      <c r="AA43" s="713"/>
      <c r="AB43" s="713"/>
      <c r="AC43" s="713"/>
      <c r="AD43" s="713"/>
      <c r="AE43" s="713"/>
      <c r="AF43" s="713"/>
      <c r="AG43" s="713"/>
      <c r="AH43" s="713"/>
      <c r="AI43" s="713"/>
      <c r="AJ43" s="713"/>
      <c r="AK43" s="713"/>
      <c r="AL43" s="713"/>
      <c r="AM43" s="713"/>
      <c r="AN43" s="713"/>
      <c r="AO43" s="713"/>
      <c r="AP43" s="713"/>
      <c r="AQ43" s="715"/>
    </row>
    <row r="44" spans="1:43" s="707" customFormat="1" ht="12.75" customHeight="1" x14ac:dyDescent="0.25">
      <c r="A44" s="8"/>
      <c r="B44" s="8"/>
      <c r="C44" s="8"/>
      <c r="D44" s="8"/>
      <c r="E44" s="8"/>
      <c r="F44" s="8"/>
      <c r="G44" s="8"/>
      <c r="H44" s="8"/>
      <c r="I44" s="11"/>
      <c r="J44" s="1115"/>
      <c r="K44" s="1115"/>
      <c r="L44" s="1115"/>
      <c r="M44" s="1115"/>
      <c r="N44" s="1115"/>
      <c r="O44" s="1115"/>
      <c r="P44" s="40"/>
      <c r="Q44" s="8"/>
      <c r="R44" s="8"/>
      <c r="S44" s="8"/>
      <c r="T44" s="8"/>
      <c r="U44" s="8"/>
      <c r="V44" s="713"/>
      <c r="W44" s="713"/>
      <c r="X44" s="713"/>
      <c r="Y44" s="713"/>
      <c r="Z44" s="713"/>
      <c r="AA44" s="713"/>
      <c r="AB44" s="713"/>
      <c r="AC44" s="713"/>
      <c r="AD44" s="713"/>
      <c r="AE44" s="713"/>
      <c r="AF44" s="713"/>
      <c r="AG44" s="713"/>
      <c r="AH44" s="713"/>
      <c r="AI44" s="713"/>
      <c r="AJ44" s="713"/>
      <c r="AK44" s="713"/>
      <c r="AL44" s="713"/>
      <c r="AM44" s="713"/>
      <c r="AN44" s="713"/>
      <c r="AO44" s="713"/>
      <c r="AP44" s="713"/>
      <c r="AQ44" s="715"/>
    </row>
    <row r="45" spans="1:43" s="707" customFormat="1" ht="12.75" customHeight="1" x14ac:dyDescent="0.25">
      <c r="A45" s="8"/>
      <c r="B45" s="8"/>
      <c r="C45" s="8"/>
      <c r="D45" s="8"/>
      <c r="E45" s="8"/>
      <c r="F45" s="8"/>
      <c r="G45" s="8"/>
      <c r="H45" s="8"/>
      <c r="I45" s="8"/>
      <c r="J45" s="1112"/>
      <c r="K45" s="1112"/>
      <c r="L45" s="1112"/>
      <c r="M45" s="1112"/>
      <c r="N45" s="1518" t="s">
        <v>464</v>
      </c>
      <c r="O45" s="1553"/>
      <c r="P45" s="1553"/>
      <c r="Q45" s="1554"/>
      <c r="R45" s="8"/>
      <c r="S45" s="8"/>
      <c r="T45" s="8"/>
      <c r="U45" s="8"/>
      <c r="V45" s="713"/>
      <c r="W45" s="713"/>
      <c r="X45" s="713"/>
      <c r="Y45" s="713"/>
      <c r="Z45" s="713"/>
      <c r="AA45" s="713"/>
      <c r="AB45" s="713"/>
      <c r="AC45" s="713"/>
      <c r="AD45" s="713"/>
      <c r="AE45" s="713"/>
      <c r="AF45" s="713"/>
      <c r="AG45" s="713"/>
      <c r="AH45" s="713"/>
      <c r="AI45" s="713"/>
      <c r="AJ45" s="713"/>
      <c r="AK45" s="713"/>
      <c r="AL45" s="713"/>
      <c r="AM45" s="713"/>
      <c r="AN45" s="713"/>
      <c r="AO45" s="713"/>
      <c r="AP45" s="713"/>
      <c r="AQ45" s="715"/>
    </row>
    <row r="46" spans="1:43" s="707" customFormat="1" ht="12.75" customHeight="1" x14ac:dyDescent="0.25">
      <c r="A46" s="8"/>
      <c r="B46" s="8"/>
      <c r="C46" s="8"/>
      <c r="D46" s="8"/>
      <c r="E46" s="8"/>
      <c r="F46" s="8"/>
      <c r="G46" s="8"/>
      <c r="H46" s="8"/>
      <c r="I46" s="8"/>
      <c r="J46" s="1112"/>
      <c r="K46" s="1112"/>
      <c r="L46" s="1112"/>
      <c r="M46" s="1112"/>
      <c r="N46" s="1501" t="s">
        <v>200</v>
      </c>
      <c r="O46" s="1502"/>
      <c r="P46" s="1503" t="s">
        <v>201</v>
      </c>
      <c r="Q46" s="1504"/>
      <c r="R46" s="8"/>
      <c r="S46" s="8"/>
      <c r="T46" s="8"/>
      <c r="U46" s="8"/>
      <c r="V46" s="713"/>
      <c r="W46" s="713"/>
      <c r="X46" s="713"/>
      <c r="Y46" s="713"/>
      <c r="Z46" s="713"/>
      <c r="AA46" s="713"/>
      <c r="AB46" s="713"/>
      <c r="AC46" s="713"/>
      <c r="AD46" s="713"/>
      <c r="AE46" s="713"/>
      <c r="AF46" s="713"/>
      <c r="AG46" s="713"/>
      <c r="AH46" s="713"/>
      <c r="AI46" s="713"/>
      <c r="AJ46" s="713"/>
      <c r="AK46" s="713"/>
      <c r="AL46" s="713"/>
      <c r="AM46" s="713"/>
      <c r="AN46" s="713"/>
      <c r="AO46" s="713"/>
      <c r="AP46" s="713"/>
      <c r="AQ46" s="715"/>
    </row>
    <row r="47" spans="1:43" s="707" customFormat="1" ht="12.75" customHeight="1" x14ac:dyDescent="0.25">
      <c r="A47" s="8"/>
      <c r="B47" s="8"/>
      <c r="C47" s="11" t="s">
        <v>465</v>
      </c>
      <c r="D47" s="711"/>
      <c r="E47" s="11"/>
      <c r="F47" s="11"/>
      <c r="G47" s="11"/>
      <c r="H47" s="11"/>
      <c r="I47" s="11"/>
      <c r="J47" s="1115" t="s">
        <v>614</v>
      </c>
      <c r="K47" s="1115"/>
      <c r="L47" s="1115"/>
      <c r="M47" s="1115"/>
      <c r="N47" s="1539" t="e">
        <f>'I. Summary Outputs'!L63</f>
        <v>#VALUE!</v>
      </c>
      <c r="O47" s="1540"/>
      <c r="P47" s="1541" t="e">
        <f>'I. Summary Outputs'!N63</f>
        <v>#VALUE!</v>
      </c>
      <c r="Q47" s="1542"/>
      <c r="R47" s="8"/>
      <c r="S47" s="8"/>
      <c r="T47" s="8"/>
      <c r="U47" s="8"/>
      <c r="V47" s="713"/>
      <c r="W47" s="713"/>
      <c r="X47" s="713"/>
      <c r="Y47" s="713"/>
      <c r="Z47" s="713"/>
      <c r="AA47" s="713"/>
      <c r="AB47" s="713"/>
      <c r="AC47" s="713"/>
      <c r="AD47" s="713"/>
      <c r="AE47" s="713"/>
      <c r="AF47" s="713"/>
      <c r="AG47" s="713"/>
      <c r="AH47" s="713"/>
      <c r="AI47" s="713"/>
      <c r="AJ47" s="713"/>
      <c r="AK47" s="713"/>
      <c r="AL47" s="713"/>
      <c r="AM47" s="713"/>
      <c r="AN47" s="713"/>
      <c r="AO47" s="713"/>
      <c r="AP47" s="713"/>
      <c r="AQ47" s="715"/>
    </row>
    <row r="48" spans="1:43" s="707" customFormat="1" ht="12.75" customHeight="1" x14ac:dyDescent="0.3">
      <c r="A48" s="8"/>
      <c r="B48" s="8"/>
      <c r="C48" s="711"/>
      <c r="D48" s="8" t="s">
        <v>466</v>
      </c>
      <c r="E48" s="711"/>
      <c r="F48" s="11"/>
      <c r="G48" s="11"/>
      <c r="H48" s="11"/>
      <c r="I48" s="11"/>
      <c r="J48" s="1112" t="s">
        <v>614</v>
      </c>
      <c r="K48" s="1112"/>
      <c r="L48" s="1112"/>
      <c r="M48" s="1115"/>
      <c r="N48" s="1607" t="e">
        <f>'I. Summary Outputs'!L64</f>
        <v>#VALUE!</v>
      </c>
      <c r="O48" s="1608"/>
      <c r="P48" s="1611" t="e">
        <f>'I. Summary Outputs'!N64</f>
        <v>#VALUE!</v>
      </c>
      <c r="Q48" s="1608"/>
      <c r="R48" s="8"/>
      <c r="S48" s="8"/>
      <c r="T48" s="8"/>
      <c r="U48" s="8"/>
      <c r="V48" s="713"/>
      <c r="W48" s="713"/>
      <c r="X48" s="713"/>
      <c r="Y48" s="713"/>
      <c r="Z48" s="713"/>
      <c r="AA48" s="713"/>
      <c r="AB48" s="713"/>
      <c r="AC48" s="713"/>
      <c r="AD48" s="713"/>
      <c r="AE48" s="713"/>
      <c r="AF48" s="713"/>
      <c r="AG48" s="713"/>
      <c r="AH48" s="713"/>
      <c r="AI48" s="713"/>
      <c r="AJ48" s="713"/>
      <c r="AK48" s="713"/>
      <c r="AL48" s="713"/>
      <c r="AM48" s="713"/>
      <c r="AN48" s="713"/>
      <c r="AO48" s="713"/>
      <c r="AP48" s="713"/>
      <c r="AQ48" s="715"/>
    </row>
    <row r="49" spans="1:45" s="707" customFormat="1" ht="12.75" customHeight="1" x14ac:dyDescent="0.25">
      <c r="A49" s="8"/>
      <c r="B49" s="8"/>
      <c r="C49" s="711"/>
      <c r="D49" s="8" t="s">
        <v>496</v>
      </c>
      <c r="E49" s="711"/>
      <c r="F49" s="11"/>
      <c r="G49" s="11"/>
      <c r="H49" s="11"/>
      <c r="I49" s="11"/>
      <c r="J49" s="1212" t="s">
        <v>614</v>
      </c>
      <c r="K49" s="1212"/>
      <c r="L49" s="1212"/>
      <c r="M49" s="1213"/>
      <c r="N49" s="2038">
        <f>'I. Summary Outputs'!L65</f>
        <v>0</v>
      </c>
      <c r="O49" s="2039"/>
      <c r="P49" s="2040">
        <f>'I. Summary Outputs'!N65</f>
        <v>0</v>
      </c>
      <c r="Q49" s="2041"/>
      <c r="R49" s="8"/>
      <c r="S49" s="8"/>
      <c r="T49" s="8"/>
      <c r="U49" s="8"/>
      <c r="V49" s="713"/>
      <c r="W49" s="713"/>
      <c r="X49" s="713"/>
      <c r="Y49" s="713"/>
      <c r="Z49" s="713"/>
      <c r="AA49" s="713"/>
      <c r="AB49" s="713"/>
      <c r="AC49" s="713"/>
      <c r="AD49" s="713"/>
      <c r="AE49" s="713"/>
      <c r="AF49" s="713"/>
      <c r="AG49" s="713"/>
      <c r="AH49" s="713"/>
      <c r="AI49" s="713"/>
      <c r="AJ49" s="713"/>
      <c r="AK49" s="713"/>
      <c r="AL49" s="713"/>
      <c r="AM49" s="713"/>
      <c r="AN49" s="713"/>
      <c r="AO49" s="713"/>
      <c r="AP49" s="713"/>
      <c r="AQ49" s="715"/>
    </row>
    <row r="50" spans="1:45" s="711" customFormat="1" ht="12.75" customHeight="1" x14ac:dyDescent="0.25">
      <c r="A50" s="710"/>
      <c r="B50" s="8"/>
      <c r="C50" s="8"/>
      <c r="D50" s="8"/>
      <c r="E50" s="8"/>
      <c r="F50" s="8"/>
      <c r="G50" s="8"/>
      <c r="H50" s="8"/>
      <c r="I50" s="11"/>
      <c r="J50" s="1128"/>
      <c r="K50" s="1128"/>
      <c r="L50" s="1128"/>
      <c r="M50" s="1128"/>
      <c r="N50" s="1128"/>
      <c r="O50" s="1128"/>
      <c r="P50" s="40"/>
      <c r="Q50" s="8"/>
      <c r="R50" s="8"/>
      <c r="S50" s="8"/>
      <c r="T50" s="8"/>
      <c r="U50" s="8"/>
      <c r="V50" s="713"/>
      <c r="W50" s="713"/>
      <c r="X50" s="713"/>
      <c r="Y50" s="713"/>
      <c r="Z50" s="713"/>
      <c r="AA50" s="713"/>
      <c r="AB50" s="713"/>
      <c r="AC50" s="713"/>
      <c r="AD50" s="713"/>
      <c r="AE50" s="713"/>
      <c r="AF50" s="713"/>
      <c r="AG50" s="713"/>
      <c r="AH50" s="713"/>
      <c r="AI50" s="713"/>
      <c r="AJ50" s="713"/>
      <c r="AK50" s="713"/>
      <c r="AL50" s="713"/>
      <c r="AM50" s="713"/>
      <c r="AN50" s="713"/>
      <c r="AO50" s="713"/>
      <c r="AP50" s="714"/>
      <c r="AQ50" s="715"/>
      <c r="AR50" s="707"/>
      <c r="AS50" s="707"/>
    </row>
    <row r="51" spans="1:45" s="711" customFormat="1" ht="12.75" customHeight="1" x14ac:dyDescent="0.25">
      <c r="A51" s="710"/>
      <c r="B51" s="8"/>
      <c r="C51" s="8"/>
      <c r="D51" s="8"/>
      <c r="E51" s="8"/>
      <c r="F51" s="8"/>
      <c r="G51" s="8"/>
      <c r="H51" s="8"/>
      <c r="I51" s="8"/>
      <c r="J51" s="1127"/>
      <c r="K51" s="1127"/>
      <c r="L51" s="1127"/>
      <c r="M51" s="1127"/>
      <c r="N51" s="1518" t="s">
        <v>584</v>
      </c>
      <c r="O51" s="1553"/>
      <c r="P51" s="1553"/>
      <c r="Q51" s="1554"/>
      <c r="R51" s="8"/>
      <c r="S51" s="8"/>
      <c r="T51" s="8"/>
      <c r="U51" s="8"/>
      <c r="V51" s="713"/>
      <c r="W51" s="713"/>
      <c r="X51" s="713"/>
      <c r="Y51" s="713"/>
      <c r="Z51" s="713"/>
      <c r="AA51" s="713"/>
      <c r="AB51" s="713"/>
      <c r="AC51" s="713"/>
      <c r="AD51" s="713"/>
      <c r="AE51" s="713"/>
      <c r="AF51" s="713"/>
      <c r="AG51" s="713"/>
      <c r="AH51" s="713"/>
      <c r="AI51" s="713"/>
      <c r="AJ51" s="713"/>
      <c r="AK51" s="713"/>
      <c r="AL51" s="713"/>
      <c r="AM51" s="713"/>
      <c r="AN51" s="713"/>
      <c r="AO51" s="713"/>
      <c r="AP51" s="714"/>
      <c r="AQ51" s="715"/>
      <c r="AR51" s="707"/>
      <c r="AS51" s="707"/>
    </row>
    <row r="52" spans="1:45" s="711" customFormat="1" ht="12.75" customHeight="1" x14ac:dyDescent="0.25">
      <c r="A52" s="710"/>
      <c r="B52" s="8"/>
      <c r="C52" s="8"/>
      <c r="D52" s="8"/>
      <c r="E52" s="8"/>
      <c r="F52" s="8"/>
      <c r="G52" s="8"/>
      <c r="H52" s="8"/>
      <c r="I52" s="8"/>
      <c r="J52" s="1127"/>
      <c r="K52" s="1127"/>
      <c r="L52" s="1127"/>
      <c r="M52" s="1127"/>
      <c r="N52" s="1501" t="s">
        <v>200</v>
      </c>
      <c r="O52" s="1502"/>
      <c r="P52" s="1503" t="s">
        <v>201</v>
      </c>
      <c r="Q52" s="1504"/>
      <c r="R52" s="8"/>
      <c r="S52" s="8"/>
      <c r="T52" s="8"/>
      <c r="U52" s="8"/>
      <c r="V52" s="713"/>
      <c r="W52" s="713"/>
      <c r="X52" s="713"/>
      <c r="Y52" s="713"/>
      <c r="Z52" s="713"/>
      <c r="AA52" s="713"/>
      <c r="AB52" s="713"/>
      <c r="AC52" s="713"/>
      <c r="AD52" s="713"/>
      <c r="AE52" s="713"/>
      <c r="AF52" s="713"/>
      <c r="AG52" s="713"/>
      <c r="AH52" s="713"/>
      <c r="AI52" s="713"/>
      <c r="AJ52" s="713"/>
      <c r="AK52" s="713"/>
      <c r="AL52" s="713"/>
      <c r="AM52" s="713"/>
      <c r="AN52" s="713"/>
      <c r="AO52" s="713"/>
      <c r="AP52" s="714"/>
      <c r="AQ52" s="715"/>
      <c r="AR52" s="707"/>
      <c r="AS52" s="707"/>
    </row>
    <row r="53" spans="1:45" s="711" customFormat="1" ht="12.75" customHeight="1" x14ac:dyDescent="0.25">
      <c r="A53" s="710"/>
      <c r="C53" s="11" t="s">
        <v>554</v>
      </c>
      <c r="E53" s="11"/>
      <c r="F53" s="11"/>
      <c r="G53" s="11"/>
      <c r="H53" s="11"/>
      <c r="I53" s="11"/>
      <c r="J53" s="1163" t="s">
        <v>614</v>
      </c>
      <c r="K53" s="1163"/>
      <c r="L53" s="1163"/>
      <c r="M53" s="1163"/>
      <c r="N53" s="1997">
        <f>'I. Summary Outputs'!L68</f>
        <v>0</v>
      </c>
      <c r="O53" s="1998"/>
      <c r="P53" s="1999">
        <f>'I. Summary Outputs'!N68</f>
        <v>0</v>
      </c>
      <c r="Q53" s="2000"/>
      <c r="R53" s="8"/>
      <c r="S53" s="1167"/>
      <c r="T53" s="8"/>
      <c r="U53" s="8"/>
      <c r="V53" s="713"/>
      <c r="W53" s="713"/>
      <c r="X53" s="713"/>
      <c r="Y53" s="713"/>
      <c r="Z53" s="713"/>
      <c r="AA53" s="713"/>
      <c r="AB53" s="713"/>
      <c r="AC53" s="713"/>
      <c r="AD53" s="713"/>
      <c r="AE53" s="713"/>
      <c r="AF53" s="713"/>
      <c r="AG53" s="713"/>
      <c r="AH53" s="713"/>
      <c r="AI53" s="713"/>
      <c r="AJ53" s="713"/>
      <c r="AK53" s="713"/>
      <c r="AL53" s="713"/>
      <c r="AM53" s="713"/>
      <c r="AN53" s="713"/>
      <c r="AO53" s="713"/>
      <c r="AP53" s="714"/>
      <c r="AQ53" s="715"/>
      <c r="AR53" s="707"/>
      <c r="AS53" s="707"/>
    </row>
    <row r="54" spans="1:45" s="711" customFormat="1" ht="12.75" customHeight="1" x14ac:dyDescent="0.25">
      <c r="A54" s="710"/>
      <c r="B54" s="8"/>
      <c r="C54" s="8"/>
      <c r="D54" s="8"/>
      <c r="E54" s="8"/>
      <c r="F54" s="8"/>
      <c r="G54" s="8"/>
      <c r="H54" s="8"/>
      <c r="I54" s="11"/>
      <c r="J54" s="1128"/>
      <c r="K54" s="1128"/>
      <c r="L54" s="1128"/>
      <c r="M54" s="1128"/>
      <c r="N54" s="1128"/>
      <c r="O54" s="1128"/>
      <c r="P54" s="40"/>
      <c r="Q54" s="8"/>
      <c r="R54" s="8"/>
      <c r="S54" s="8"/>
      <c r="T54" s="8"/>
      <c r="U54" s="8"/>
      <c r="V54" s="713"/>
      <c r="W54" s="713"/>
      <c r="X54" s="713"/>
      <c r="Y54" s="713"/>
      <c r="Z54" s="713"/>
      <c r="AA54" s="713"/>
      <c r="AB54" s="713"/>
      <c r="AC54" s="713"/>
      <c r="AD54" s="713"/>
      <c r="AE54" s="713"/>
      <c r="AF54" s="713"/>
      <c r="AG54" s="713"/>
      <c r="AH54" s="713"/>
      <c r="AI54" s="713"/>
      <c r="AJ54" s="713"/>
      <c r="AK54" s="713"/>
      <c r="AL54" s="713"/>
      <c r="AM54" s="713"/>
      <c r="AN54" s="713"/>
      <c r="AO54" s="713"/>
      <c r="AP54" s="714"/>
      <c r="AQ54" s="715"/>
      <c r="AR54" s="707"/>
      <c r="AS54" s="707"/>
    </row>
    <row r="55" spans="1:45" s="707" customFormat="1" ht="12.75" customHeight="1" x14ac:dyDescent="0.25">
      <c r="A55" s="8"/>
      <c r="B55" s="8"/>
      <c r="C55" s="8"/>
      <c r="D55" s="8"/>
      <c r="E55" s="8"/>
      <c r="F55" s="8"/>
      <c r="G55" s="8"/>
      <c r="H55" s="8"/>
      <c r="I55" s="11"/>
      <c r="J55" s="1115"/>
      <c r="K55" s="1115"/>
      <c r="L55" s="1115"/>
      <c r="M55" s="1115"/>
      <c r="N55" s="1115"/>
      <c r="O55" s="1115"/>
      <c r="P55" s="40"/>
      <c r="Q55" s="8"/>
      <c r="R55" s="8"/>
      <c r="S55" s="8"/>
      <c r="T55" s="8"/>
      <c r="U55" s="8"/>
      <c r="V55" s="713"/>
      <c r="W55" s="713"/>
      <c r="X55" s="713"/>
      <c r="Y55" s="713"/>
      <c r="Z55" s="713"/>
      <c r="AA55" s="713"/>
      <c r="AB55" s="713"/>
      <c r="AC55" s="713"/>
      <c r="AD55" s="713"/>
      <c r="AE55" s="713"/>
      <c r="AF55" s="713"/>
      <c r="AG55" s="713"/>
      <c r="AH55" s="713"/>
      <c r="AI55" s="713"/>
      <c r="AJ55" s="713"/>
      <c r="AK55" s="713"/>
      <c r="AL55" s="713"/>
      <c r="AM55" s="713"/>
      <c r="AN55" s="713"/>
      <c r="AO55" s="713"/>
      <c r="AP55" s="713"/>
      <c r="AQ55" s="715"/>
    </row>
    <row r="56" spans="1:45" s="707" customFormat="1" ht="12.75" customHeight="1" x14ac:dyDescent="0.25">
      <c r="A56" s="8"/>
      <c r="B56" s="8"/>
      <c r="C56" s="8"/>
      <c r="D56" s="8"/>
      <c r="E56" s="8"/>
      <c r="F56" s="8"/>
      <c r="G56" s="8"/>
      <c r="H56" s="8"/>
      <c r="I56" s="8"/>
      <c r="J56" s="1115"/>
      <c r="K56" s="1115"/>
      <c r="L56" s="1115"/>
      <c r="M56" s="1115"/>
      <c r="N56" s="1583" t="s">
        <v>464</v>
      </c>
      <c r="O56" s="1584"/>
      <c r="P56" s="1584"/>
      <c r="Q56" s="1585"/>
      <c r="R56" s="8"/>
      <c r="S56" s="8"/>
      <c r="T56" s="8"/>
      <c r="U56" s="8"/>
      <c r="V56" s="713"/>
      <c r="W56" s="713"/>
      <c r="X56" s="713"/>
      <c r="Y56" s="713"/>
      <c r="Z56" s="713"/>
      <c r="AA56" s="713"/>
      <c r="AB56" s="713"/>
      <c r="AC56" s="713"/>
      <c r="AD56" s="713"/>
      <c r="AE56" s="713"/>
      <c r="AF56" s="713"/>
      <c r="AG56" s="713"/>
      <c r="AH56" s="713"/>
      <c r="AI56" s="713"/>
      <c r="AJ56" s="713"/>
      <c r="AK56" s="713"/>
      <c r="AL56" s="713"/>
      <c r="AM56" s="713"/>
      <c r="AN56" s="713"/>
      <c r="AO56" s="713"/>
      <c r="AP56" s="713"/>
      <c r="AQ56" s="715"/>
    </row>
    <row r="57" spans="1:45" s="707" customFormat="1" ht="12.75" customHeight="1" x14ac:dyDescent="0.25">
      <c r="A57" s="8"/>
      <c r="B57" s="8"/>
      <c r="C57" s="11"/>
      <c r="D57" s="11"/>
      <c r="E57" s="11"/>
      <c r="F57" s="11"/>
      <c r="G57" s="11"/>
      <c r="H57" s="11"/>
      <c r="I57" s="8"/>
      <c r="J57" s="1115"/>
      <c r="K57" s="1115"/>
      <c r="L57" s="1115"/>
      <c r="M57" s="1115"/>
      <c r="N57" s="1501" t="s">
        <v>200</v>
      </c>
      <c r="O57" s="1502"/>
      <c r="P57" s="1503" t="s">
        <v>201</v>
      </c>
      <c r="Q57" s="1504"/>
      <c r="R57" s="8"/>
      <c r="S57" s="8"/>
      <c r="T57" s="8"/>
      <c r="U57" s="8"/>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5"/>
    </row>
    <row r="58" spans="1:45" s="707" customFormat="1" ht="12.75" customHeight="1" x14ac:dyDescent="0.25">
      <c r="A58" s="8"/>
      <c r="B58" s="8"/>
      <c r="C58" s="11" t="s">
        <v>146</v>
      </c>
      <c r="D58" s="11"/>
      <c r="E58" s="11"/>
      <c r="F58" s="11"/>
      <c r="G58" s="11"/>
      <c r="H58" s="11"/>
      <c r="I58" s="8"/>
      <c r="J58" s="1115"/>
      <c r="K58" s="1115"/>
      <c r="L58" s="1115"/>
      <c r="M58" s="1115"/>
      <c r="N58" s="1644"/>
      <c r="O58" s="1645"/>
      <c r="P58" s="1640"/>
      <c r="Q58" s="1641"/>
      <c r="R58" s="8"/>
      <c r="S58" s="8"/>
      <c r="T58" s="8"/>
      <c r="U58" s="8"/>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5"/>
    </row>
    <row r="59" spans="1:45" s="707" customFormat="1" ht="12.75" customHeight="1" x14ac:dyDescent="0.25">
      <c r="A59" s="8"/>
      <c r="B59" s="8"/>
      <c r="C59" s="11"/>
      <c r="D59" s="11" t="s">
        <v>245</v>
      </c>
      <c r="E59" s="11"/>
      <c r="F59" s="11"/>
      <c r="G59" s="11"/>
      <c r="H59" s="11"/>
      <c r="I59" s="8"/>
      <c r="J59" s="1115"/>
      <c r="K59" s="1115"/>
      <c r="L59" s="1115"/>
      <c r="M59" s="1115"/>
      <c r="N59" s="1642" t="e">
        <f>'I. Summary Outputs'!L132</f>
        <v>#VALUE!</v>
      </c>
      <c r="O59" s="1643"/>
      <c r="P59" s="1618" t="e">
        <f>'I. Summary Outputs'!N132</f>
        <v>#VALUE!</v>
      </c>
      <c r="Q59" s="1619"/>
      <c r="R59" s="8"/>
      <c r="S59" s="8"/>
      <c r="T59" s="8"/>
      <c r="U59" s="8"/>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5"/>
    </row>
    <row r="60" spans="1:45" s="707" customFormat="1" ht="12.75" customHeight="1" x14ac:dyDescent="0.25">
      <c r="A60" s="8"/>
      <c r="B60" s="8"/>
      <c r="C60" s="8"/>
      <c r="D60" s="8" t="s">
        <v>471</v>
      </c>
      <c r="E60" s="8"/>
      <c r="F60" s="8"/>
      <c r="G60" s="8"/>
      <c r="H60" s="8"/>
      <c r="I60" s="8"/>
      <c r="J60" s="1112" t="s">
        <v>154</v>
      </c>
      <c r="K60" s="1112"/>
      <c r="L60" s="1112"/>
      <c r="M60" s="1112"/>
      <c r="N60" s="1561">
        <f>'I. Summary Outputs'!L133</f>
        <v>0</v>
      </c>
      <c r="O60" s="1562"/>
      <c r="P60" s="1577">
        <f>'I. Summary Outputs'!N133</f>
        <v>0</v>
      </c>
      <c r="Q60" s="1578"/>
      <c r="R60" s="8"/>
      <c r="S60" s="8"/>
      <c r="T60" s="8"/>
      <c r="U60" s="8"/>
      <c r="V60" s="713"/>
      <c r="W60" s="713"/>
      <c r="X60" s="713"/>
      <c r="Y60" s="713"/>
      <c r="Z60" s="713"/>
      <c r="AA60" s="713"/>
      <c r="AB60" s="713"/>
      <c r="AC60" s="713"/>
      <c r="AD60" s="713"/>
      <c r="AE60" s="713"/>
      <c r="AF60" s="713"/>
      <c r="AG60" s="713"/>
      <c r="AH60" s="713"/>
      <c r="AI60" s="713"/>
      <c r="AJ60" s="713"/>
      <c r="AK60" s="713"/>
      <c r="AL60" s="713"/>
      <c r="AM60" s="713"/>
      <c r="AN60" s="713"/>
      <c r="AO60" s="713"/>
      <c r="AP60" s="713"/>
      <c r="AQ60" s="715"/>
    </row>
    <row r="61" spans="1:45" s="707" customFormat="1" ht="12.75" customHeight="1" x14ac:dyDescent="0.25">
      <c r="A61" s="8"/>
      <c r="B61" s="8"/>
      <c r="C61" s="8"/>
      <c r="D61" s="1111" t="s">
        <v>533</v>
      </c>
      <c r="E61" s="8"/>
      <c r="F61" s="8"/>
      <c r="G61" s="8"/>
      <c r="H61" s="8"/>
      <c r="I61" s="8"/>
      <c r="J61" s="1112" t="s">
        <v>154</v>
      </c>
      <c r="K61" s="1112"/>
      <c r="L61" s="1112"/>
      <c r="M61" s="1112"/>
      <c r="N61" s="1561" t="e">
        <f>'I. Summary Outputs'!L134</f>
        <v>#VALUE!</v>
      </c>
      <c r="O61" s="1562"/>
      <c r="P61" s="1577" t="e">
        <f>'I. Summary Outputs'!N134</f>
        <v>#VALUE!</v>
      </c>
      <c r="Q61" s="1578"/>
      <c r="R61" s="8"/>
      <c r="S61" s="8"/>
      <c r="T61" s="8"/>
      <c r="U61" s="8"/>
      <c r="V61" s="713"/>
      <c r="W61" s="713"/>
      <c r="X61" s="713"/>
      <c r="Y61" s="713"/>
      <c r="Z61" s="713"/>
      <c r="AA61" s="713"/>
      <c r="AB61" s="713"/>
      <c r="AC61" s="713"/>
      <c r="AD61" s="713"/>
      <c r="AE61" s="713"/>
      <c r="AF61" s="713"/>
      <c r="AG61" s="713"/>
      <c r="AH61" s="713"/>
      <c r="AI61" s="713"/>
      <c r="AJ61" s="713"/>
      <c r="AK61" s="713"/>
      <c r="AL61" s="713"/>
      <c r="AM61" s="713"/>
      <c r="AN61" s="713"/>
      <c r="AO61" s="713"/>
      <c r="AP61" s="713"/>
      <c r="AQ61" s="715"/>
    </row>
    <row r="62" spans="1:45" s="707" customFormat="1" ht="12.75" customHeight="1" x14ac:dyDescent="0.25">
      <c r="A62" s="8"/>
      <c r="B62" s="8"/>
      <c r="C62" s="8"/>
      <c r="D62" s="8" t="s">
        <v>306</v>
      </c>
      <c r="E62" s="8"/>
      <c r="F62" s="8"/>
      <c r="G62" s="8"/>
      <c r="H62" s="8"/>
      <c r="I62" s="8"/>
      <c r="J62" s="1112" t="s">
        <v>154</v>
      </c>
      <c r="K62" s="1112"/>
      <c r="L62" s="1112"/>
      <c r="M62" s="1112"/>
      <c r="N62" s="1561">
        <f>'I. Summary Outputs'!L135</f>
        <v>0</v>
      </c>
      <c r="O62" s="1562"/>
      <c r="P62" s="1577">
        <f>'I. Summary Outputs'!N135</f>
        <v>0</v>
      </c>
      <c r="Q62" s="1578"/>
      <c r="R62" s="8"/>
      <c r="S62" s="8"/>
      <c r="T62" s="8"/>
      <c r="U62" s="8"/>
      <c r="V62" s="713"/>
      <c r="W62" s="713"/>
      <c r="X62" s="713"/>
      <c r="Y62" s="713"/>
      <c r="Z62" s="713"/>
      <c r="AA62" s="713"/>
      <c r="AB62" s="713"/>
      <c r="AC62" s="713"/>
      <c r="AD62" s="713"/>
      <c r="AE62" s="713"/>
      <c r="AF62" s="713"/>
      <c r="AG62" s="713"/>
      <c r="AH62" s="713"/>
      <c r="AI62" s="713"/>
      <c r="AJ62" s="713"/>
      <c r="AK62" s="713"/>
      <c r="AL62" s="713"/>
      <c r="AM62" s="713"/>
      <c r="AN62" s="713"/>
      <c r="AO62" s="713"/>
      <c r="AP62" s="713"/>
      <c r="AQ62" s="715"/>
    </row>
    <row r="63" spans="1:45" s="707" customFormat="1" ht="12.75" customHeight="1" x14ac:dyDescent="0.25">
      <c r="A63" s="8"/>
      <c r="B63" s="8"/>
      <c r="C63" s="8"/>
      <c r="D63" s="8" t="s">
        <v>305</v>
      </c>
      <c r="E63" s="8"/>
      <c r="F63" s="8"/>
      <c r="G63" s="8"/>
      <c r="H63" s="8"/>
      <c r="I63" s="8"/>
      <c r="J63" s="1112" t="s">
        <v>154</v>
      </c>
      <c r="K63" s="1112"/>
      <c r="L63" s="1112"/>
      <c r="M63" s="1112"/>
      <c r="N63" s="1561">
        <f>'I. Summary Outputs'!L136</f>
        <v>0</v>
      </c>
      <c r="O63" s="1562"/>
      <c r="P63" s="1577">
        <f>'I. Summary Outputs'!N136</f>
        <v>0</v>
      </c>
      <c r="Q63" s="1578"/>
      <c r="R63" s="8"/>
      <c r="S63" s="8"/>
      <c r="T63" s="8"/>
      <c r="U63" s="8"/>
      <c r="V63" s="713"/>
      <c r="W63" s="713"/>
      <c r="X63" s="713"/>
      <c r="Y63" s="713"/>
      <c r="Z63" s="713"/>
      <c r="AA63" s="713"/>
      <c r="AB63" s="713"/>
      <c r="AC63" s="713"/>
      <c r="AD63" s="713"/>
      <c r="AE63" s="713"/>
      <c r="AF63" s="713"/>
      <c r="AG63" s="713"/>
      <c r="AH63" s="713"/>
      <c r="AI63" s="713"/>
      <c r="AJ63" s="713"/>
      <c r="AK63" s="713"/>
      <c r="AL63" s="713"/>
      <c r="AM63" s="713"/>
      <c r="AN63" s="713"/>
      <c r="AO63" s="713"/>
      <c r="AP63" s="713"/>
      <c r="AQ63" s="715"/>
    </row>
    <row r="64" spans="1:45" s="707" customFormat="1" ht="12.75" customHeight="1" x14ac:dyDescent="0.25">
      <c r="A64" s="8"/>
      <c r="B64" s="8"/>
      <c r="C64" s="8"/>
      <c r="D64" s="8"/>
      <c r="E64" s="8"/>
      <c r="F64" s="8"/>
      <c r="G64" s="8"/>
      <c r="H64" s="8"/>
      <c r="I64" s="8"/>
      <c r="J64" s="1112"/>
      <c r="K64" s="1112"/>
      <c r="L64" s="1112"/>
      <c r="M64" s="1112"/>
      <c r="N64" s="1116"/>
      <c r="O64" s="1113"/>
      <c r="P64" s="691"/>
      <c r="Q64" s="1114"/>
      <c r="R64" s="8"/>
      <c r="S64" s="8"/>
      <c r="T64" s="8"/>
      <c r="U64" s="8"/>
      <c r="V64" s="713"/>
      <c r="W64" s="713"/>
      <c r="X64" s="713"/>
      <c r="Y64" s="713"/>
      <c r="Z64" s="713"/>
      <c r="AA64" s="713"/>
      <c r="AB64" s="713"/>
      <c r="AC64" s="713"/>
      <c r="AD64" s="713"/>
      <c r="AE64" s="713"/>
      <c r="AF64" s="713"/>
      <c r="AG64" s="713"/>
      <c r="AH64" s="713"/>
      <c r="AI64" s="713"/>
      <c r="AJ64" s="713"/>
      <c r="AK64" s="713"/>
      <c r="AL64" s="713"/>
      <c r="AM64" s="713"/>
      <c r="AN64" s="713"/>
      <c r="AO64" s="713"/>
      <c r="AP64" s="713"/>
      <c r="AQ64" s="715"/>
    </row>
    <row r="65" spans="1:43" s="707" customFormat="1" ht="12.75" customHeight="1" x14ac:dyDescent="0.25">
      <c r="A65" s="8"/>
      <c r="B65" s="8"/>
      <c r="C65" s="11" t="s">
        <v>147</v>
      </c>
      <c r="D65" s="8"/>
      <c r="E65" s="8"/>
      <c r="F65" s="8"/>
      <c r="G65" s="8"/>
      <c r="H65" s="8"/>
      <c r="I65" s="8"/>
      <c r="J65" s="1112"/>
      <c r="K65" s="1112"/>
      <c r="L65" s="1112"/>
      <c r="M65" s="1112"/>
      <c r="N65" s="1116"/>
      <c r="O65" s="1113"/>
      <c r="P65" s="691"/>
      <c r="Q65" s="1114"/>
      <c r="R65" s="8"/>
      <c r="S65" s="8"/>
      <c r="T65" s="8"/>
      <c r="U65" s="8"/>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5"/>
    </row>
    <row r="66" spans="1:43" s="707" customFormat="1" ht="12.75" customHeight="1" x14ac:dyDescent="0.25">
      <c r="A66" s="8"/>
      <c r="B66" s="8"/>
      <c r="C66" s="8"/>
      <c r="D66" s="11" t="s">
        <v>245</v>
      </c>
      <c r="E66" s="11"/>
      <c r="F66" s="11"/>
      <c r="G66" s="11"/>
      <c r="H66" s="11"/>
      <c r="I66" s="8"/>
      <c r="J66" s="1115"/>
      <c r="K66" s="1115"/>
      <c r="L66" s="1115"/>
      <c r="M66" s="1115"/>
      <c r="N66" s="1561"/>
      <c r="O66" s="1498"/>
      <c r="P66" s="1618" t="str">
        <f>'I. Summary Outputs'!N139</f>
        <v>NA</v>
      </c>
      <c r="Q66" s="1619"/>
      <c r="R66" s="8"/>
      <c r="S66" s="8"/>
      <c r="T66" s="8"/>
      <c r="U66" s="8"/>
      <c r="V66" s="713"/>
      <c r="W66" s="713"/>
      <c r="X66" s="713"/>
      <c r="Y66" s="713"/>
      <c r="Z66" s="713"/>
      <c r="AA66" s="713"/>
      <c r="AB66" s="713"/>
      <c r="AC66" s="713"/>
      <c r="AD66" s="713"/>
      <c r="AE66" s="713"/>
      <c r="AF66" s="713"/>
      <c r="AG66" s="713"/>
      <c r="AH66" s="713"/>
      <c r="AI66" s="713"/>
      <c r="AJ66" s="713"/>
      <c r="AK66" s="713"/>
      <c r="AL66" s="713"/>
      <c r="AM66" s="713"/>
      <c r="AN66" s="713"/>
      <c r="AO66" s="713"/>
      <c r="AP66" s="713"/>
      <c r="AQ66" s="715"/>
    </row>
    <row r="67" spans="1:43" s="707" customFormat="1" ht="12.75" customHeight="1" x14ac:dyDescent="0.25">
      <c r="A67" s="8"/>
      <c r="B67" s="8"/>
      <c r="C67" s="8"/>
      <c r="D67" s="8" t="s">
        <v>306</v>
      </c>
      <c r="E67" s="8"/>
      <c r="F67" s="8"/>
      <c r="G67" s="8"/>
      <c r="H67" s="8"/>
      <c r="I67" s="8"/>
      <c r="J67" s="1112" t="s">
        <v>154</v>
      </c>
      <c r="K67" s="1112"/>
      <c r="L67" s="1112"/>
      <c r="M67" s="1112"/>
      <c r="N67" s="1561">
        <f>'I. Summary Outputs'!L140</f>
        <v>0</v>
      </c>
      <c r="O67" s="1562"/>
      <c r="P67" s="1577">
        <f>'I. Summary Outputs'!N140</f>
        <v>0</v>
      </c>
      <c r="Q67" s="1578"/>
      <c r="R67" s="8"/>
      <c r="S67" s="8"/>
      <c r="T67" s="8"/>
      <c r="U67" s="8"/>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5"/>
    </row>
    <row r="68" spans="1:43" s="707" customFormat="1" ht="12.75" customHeight="1" x14ac:dyDescent="0.25">
      <c r="A68" s="8"/>
      <c r="B68" s="8"/>
      <c r="C68" s="8"/>
      <c r="D68" s="8" t="s">
        <v>305</v>
      </c>
      <c r="E68" s="8"/>
      <c r="F68" s="8"/>
      <c r="G68" s="8"/>
      <c r="H68" s="8"/>
      <c r="I68" s="8"/>
      <c r="J68" s="1112" t="s">
        <v>154</v>
      </c>
      <c r="K68" s="1112"/>
      <c r="L68" s="1112"/>
      <c r="M68" s="1112"/>
      <c r="N68" s="1561">
        <f>'I. Summary Outputs'!L141</f>
        <v>0</v>
      </c>
      <c r="O68" s="1562"/>
      <c r="P68" s="1577">
        <f>'I. Summary Outputs'!N141</f>
        <v>0</v>
      </c>
      <c r="Q68" s="1578"/>
      <c r="R68" s="8"/>
      <c r="S68" s="8"/>
      <c r="T68" s="8"/>
      <c r="U68" s="8"/>
      <c r="V68" s="713"/>
      <c r="W68" s="713"/>
      <c r="X68" s="713"/>
      <c r="Y68" s="713"/>
      <c r="Z68" s="713"/>
      <c r="AA68" s="713"/>
      <c r="AB68" s="713"/>
      <c r="AC68" s="713"/>
      <c r="AD68" s="713"/>
      <c r="AE68" s="713"/>
      <c r="AF68" s="713"/>
      <c r="AG68" s="713"/>
      <c r="AH68" s="713"/>
      <c r="AI68" s="713"/>
      <c r="AJ68" s="713"/>
      <c r="AK68" s="713"/>
      <c r="AL68" s="713"/>
      <c r="AM68" s="713"/>
      <c r="AN68" s="713"/>
      <c r="AO68" s="713"/>
      <c r="AP68" s="713"/>
      <c r="AQ68" s="715"/>
    </row>
    <row r="69" spans="1:43" s="707" customFormat="1" ht="12.75" customHeight="1" x14ac:dyDescent="0.25">
      <c r="A69" s="8"/>
      <c r="B69" s="8"/>
      <c r="C69" s="8"/>
      <c r="D69" s="1634" t="s">
        <v>534</v>
      </c>
      <c r="E69" s="1634"/>
      <c r="F69" s="1634"/>
      <c r="G69" s="1634"/>
      <c r="H69" s="1634"/>
      <c r="I69" s="1634"/>
      <c r="J69" s="1112" t="s">
        <v>154</v>
      </c>
      <c r="K69" s="1112"/>
      <c r="L69" s="1112"/>
      <c r="M69" s="1112"/>
      <c r="N69" s="1561" t="e">
        <f>'I. Summary Outputs'!L142</f>
        <v>#VALUE!</v>
      </c>
      <c r="O69" s="1562"/>
      <c r="P69" s="1577" t="e">
        <f>'I. Summary Outputs'!N142</f>
        <v>#VALUE!</v>
      </c>
      <c r="Q69" s="1578"/>
      <c r="R69" s="29"/>
      <c r="S69" s="8"/>
      <c r="T69" s="8"/>
      <c r="U69" s="8"/>
      <c r="V69" s="713"/>
      <c r="W69" s="713"/>
      <c r="X69" s="713"/>
      <c r="Y69" s="713"/>
      <c r="Z69" s="713"/>
      <c r="AA69" s="713"/>
      <c r="AB69" s="713"/>
      <c r="AC69" s="713"/>
      <c r="AD69" s="713"/>
      <c r="AE69" s="713"/>
      <c r="AF69" s="713"/>
      <c r="AG69" s="713"/>
      <c r="AH69" s="713"/>
      <c r="AI69" s="713"/>
      <c r="AJ69" s="713"/>
      <c r="AK69" s="713"/>
      <c r="AL69" s="713"/>
      <c r="AM69" s="713"/>
      <c r="AN69" s="713"/>
      <c r="AO69" s="713"/>
      <c r="AP69" s="713"/>
      <c r="AQ69" s="715"/>
    </row>
    <row r="70" spans="1:43" s="707" customFormat="1" ht="12.75" customHeight="1" x14ac:dyDescent="0.25">
      <c r="A70" s="756"/>
      <c r="B70" s="8"/>
      <c r="C70" s="8"/>
      <c r="D70" s="1634" t="s">
        <v>535</v>
      </c>
      <c r="E70" s="1634"/>
      <c r="F70" s="1634"/>
      <c r="G70" s="1634"/>
      <c r="H70" s="1634"/>
      <c r="I70" s="1634"/>
      <c r="J70" s="1112" t="s">
        <v>154</v>
      </c>
      <c r="K70" s="1112"/>
      <c r="L70" s="1112"/>
      <c r="M70" s="1112"/>
      <c r="N70" s="1561"/>
      <c r="O70" s="1562"/>
      <c r="P70" s="1577" t="e">
        <f>'I. Summary Outputs'!N143</f>
        <v>#VALUE!</v>
      </c>
      <c r="Q70" s="1578"/>
      <c r="R70" s="8"/>
      <c r="S70" s="8"/>
      <c r="T70" s="8"/>
      <c r="U70" s="8"/>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5"/>
    </row>
    <row r="71" spans="1:43" s="707" customFormat="1" ht="12.75" customHeight="1" x14ac:dyDescent="0.25">
      <c r="A71" s="8"/>
      <c r="B71" s="8"/>
      <c r="C71" s="8"/>
      <c r="D71" s="8"/>
      <c r="E71" s="8"/>
      <c r="F71" s="8"/>
      <c r="G71" s="8"/>
      <c r="H71" s="8"/>
      <c r="I71" s="8"/>
      <c r="J71" s="1112"/>
      <c r="K71" s="1112"/>
      <c r="L71" s="1112"/>
      <c r="M71" s="1112"/>
      <c r="N71" s="1116"/>
      <c r="O71" s="1113"/>
      <c r="P71" s="691"/>
      <c r="Q71" s="1114"/>
      <c r="R71" s="8"/>
      <c r="S71" s="8"/>
      <c r="T71" s="8"/>
      <c r="U71" s="8"/>
      <c r="V71" s="713"/>
      <c r="W71" s="713"/>
      <c r="X71" s="713"/>
      <c r="Y71" s="713"/>
      <c r="Z71" s="713"/>
      <c r="AA71" s="713"/>
      <c r="AB71" s="713"/>
      <c r="AC71" s="713"/>
      <c r="AD71" s="713"/>
      <c r="AE71" s="713"/>
      <c r="AF71" s="713"/>
      <c r="AG71" s="713"/>
      <c r="AH71" s="713"/>
      <c r="AI71" s="713"/>
      <c r="AJ71" s="713"/>
      <c r="AK71" s="713"/>
      <c r="AL71" s="713"/>
      <c r="AM71" s="713"/>
      <c r="AN71" s="713"/>
      <c r="AO71" s="713"/>
      <c r="AP71" s="713"/>
      <c r="AQ71" s="715"/>
    </row>
    <row r="72" spans="1:43" s="707" customFormat="1" ht="12.75" customHeight="1" x14ac:dyDescent="0.25">
      <c r="A72" s="8"/>
      <c r="B72" s="8"/>
      <c r="C72" s="11" t="s">
        <v>186</v>
      </c>
      <c r="D72" s="11"/>
      <c r="E72" s="11"/>
      <c r="F72" s="11"/>
      <c r="G72" s="11"/>
      <c r="H72" s="11"/>
      <c r="I72" s="8"/>
      <c r="J72" s="747"/>
      <c r="K72" s="747"/>
      <c r="L72" s="747"/>
      <c r="M72" s="747"/>
      <c r="N72" s="1595"/>
      <c r="O72" s="1596"/>
      <c r="P72" s="1624"/>
      <c r="Q72" s="1625"/>
      <c r="R72" s="8"/>
      <c r="S72" s="8"/>
      <c r="T72" s="8"/>
      <c r="U72" s="8"/>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5"/>
    </row>
    <row r="73" spans="1:43" s="707" customFormat="1" ht="12.75" customHeight="1" x14ac:dyDescent="0.25">
      <c r="A73" s="8"/>
      <c r="B73" s="8"/>
      <c r="C73" s="8"/>
      <c r="D73" s="8" t="s">
        <v>472</v>
      </c>
      <c r="E73" s="8"/>
      <c r="F73" s="8"/>
      <c r="G73" s="8"/>
      <c r="H73" s="8"/>
      <c r="I73" s="8"/>
      <c r="J73" s="1112" t="s">
        <v>614</v>
      </c>
      <c r="K73" s="1112"/>
      <c r="L73" s="1112"/>
      <c r="M73" s="1112"/>
      <c r="N73" s="1597" t="e">
        <f>'I. Summary Outputs'!L146</f>
        <v>#VALUE!</v>
      </c>
      <c r="O73" s="1598"/>
      <c r="P73" s="1628" t="e">
        <f>'I. Summary Outputs'!N146</f>
        <v>#VALUE!</v>
      </c>
      <c r="Q73" s="1629"/>
      <c r="R73" s="8"/>
      <c r="S73" s="8"/>
      <c r="T73" s="8"/>
      <c r="U73" s="8"/>
      <c r="V73" s="713"/>
      <c r="W73" s="713"/>
      <c r="X73" s="713"/>
      <c r="Y73" s="713"/>
      <c r="Z73" s="713"/>
      <c r="AA73" s="713"/>
      <c r="AB73" s="713"/>
      <c r="AC73" s="713"/>
      <c r="AD73" s="713"/>
      <c r="AE73" s="713"/>
      <c r="AF73" s="713"/>
      <c r="AG73" s="713"/>
      <c r="AH73" s="713"/>
      <c r="AI73" s="713"/>
      <c r="AJ73" s="713"/>
      <c r="AK73" s="713"/>
      <c r="AL73" s="713"/>
      <c r="AM73" s="713"/>
      <c r="AN73" s="713"/>
      <c r="AO73" s="713"/>
      <c r="AP73" s="713"/>
      <c r="AQ73" s="715"/>
    </row>
    <row r="74" spans="1:43" s="707" customFormat="1" ht="12.75" customHeight="1" x14ac:dyDescent="0.25">
      <c r="A74" s="8"/>
      <c r="B74" s="8"/>
      <c r="C74" s="8"/>
      <c r="D74" s="8" t="s">
        <v>473</v>
      </c>
      <c r="E74" s="8"/>
      <c r="F74" s="8"/>
      <c r="G74" s="8"/>
      <c r="H74" s="8"/>
      <c r="I74" s="8"/>
      <c r="J74" s="1112" t="s">
        <v>16</v>
      </c>
      <c r="K74" s="1112"/>
      <c r="L74" s="1112"/>
      <c r="M74" s="1112"/>
      <c r="N74" s="697"/>
      <c r="O74" s="1113"/>
      <c r="P74" s="1620" t="e">
        <f>'I. Summary Outputs'!N147</f>
        <v>#VALUE!</v>
      </c>
      <c r="Q74" s="1621"/>
      <c r="R74" s="8"/>
      <c r="S74" s="8"/>
      <c r="T74" s="8"/>
      <c r="U74" s="8"/>
      <c r="V74" s="713"/>
      <c r="W74" s="713"/>
      <c r="X74" s="713"/>
      <c r="Y74" s="713"/>
      <c r="Z74" s="713"/>
      <c r="AA74" s="713"/>
      <c r="AB74" s="713"/>
      <c r="AC74" s="713"/>
      <c r="AD74" s="713"/>
      <c r="AE74" s="713"/>
      <c r="AF74" s="713"/>
      <c r="AG74" s="713"/>
      <c r="AH74" s="713"/>
      <c r="AI74" s="713"/>
      <c r="AJ74" s="713"/>
      <c r="AK74" s="713"/>
      <c r="AL74" s="713"/>
      <c r="AM74" s="713"/>
      <c r="AN74" s="713"/>
      <c r="AO74" s="713"/>
      <c r="AP74" s="713"/>
      <c r="AQ74" s="715"/>
    </row>
    <row r="75" spans="1:43" s="707" customFormat="1" ht="12.75" customHeight="1" x14ac:dyDescent="0.25">
      <c r="A75" s="8"/>
      <c r="B75" s="8"/>
      <c r="C75" s="8"/>
      <c r="D75" s="8" t="s">
        <v>276</v>
      </c>
      <c r="E75" s="8"/>
      <c r="F75" s="8"/>
      <c r="G75" s="8"/>
      <c r="H75" s="8"/>
      <c r="I75" s="8"/>
      <c r="J75" s="1112" t="s">
        <v>614</v>
      </c>
      <c r="K75" s="1112"/>
      <c r="L75" s="1112"/>
      <c r="M75" s="1112"/>
      <c r="N75" s="1597">
        <f>'I. Summary Outputs'!L148</f>
        <v>0</v>
      </c>
      <c r="O75" s="1598"/>
      <c r="P75" s="1628">
        <f>'I. Summary Outputs'!N148</f>
        <v>0</v>
      </c>
      <c r="Q75" s="1629"/>
      <c r="R75" s="8"/>
      <c r="S75" s="8"/>
      <c r="T75" s="8"/>
      <c r="U75" s="8"/>
      <c r="V75" s="713"/>
      <c r="W75" s="713"/>
      <c r="X75" s="713"/>
      <c r="Y75" s="713"/>
      <c r="Z75" s="713"/>
      <c r="AA75" s="713"/>
      <c r="AB75" s="713"/>
      <c r="AC75" s="713"/>
      <c r="AD75" s="713"/>
      <c r="AE75" s="713"/>
      <c r="AF75" s="713"/>
      <c r="AG75" s="713"/>
      <c r="AH75" s="713"/>
      <c r="AI75" s="713"/>
      <c r="AJ75" s="713"/>
      <c r="AK75" s="713"/>
      <c r="AL75" s="713"/>
      <c r="AM75" s="713"/>
      <c r="AN75" s="713"/>
      <c r="AO75" s="713"/>
      <c r="AP75" s="713"/>
      <c r="AQ75" s="715"/>
    </row>
    <row r="76" spans="1:43" s="707" customFormat="1" ht="12.75" customHeight="1" x14ac:dyDescent="0.25">
      <c r="A76" s="8"/>
      <c r="B76" s="8"/>
      <c r="C76" s="8"/>
      <c r="D76" s="8" t="s">
        <v>307</v>
      </c>
      <c r="E76" s="8"/>
      <c r="F76" s="8"/>
      <c r="G76" s="8"/>
      <c r="H76" s="8"/>
      <c r="I76" s="8"/>
      <c r="J76" s="1112" t="s">
        <v>614</v>
      </c>
      <c r="K76" s="1112"/>
      <c r="L76" s="1112"/>
      <c r="M76" s="1112"/>
      <c r="N76" s="1597" t="e">
        <f>'I. Summary Outputs'!L149</f>
        <v>#VALUE!</v>
      </c>
      <c r="O76" s="1598"/>
      <c r="P76" s="1628" t="e">
        <f>'I. Summary Outputs'!N149</f>
        <v>#VALUE!</v>
      </c>
      <c r="Q76" s="1629"/>
      <c r="R76" s="8"/>
      <c r="S76" s="8"/>
      <c r="T76" s="8"/>
      <c r="U76" s="8"/>
      <c r="V76" s="713"/>
      <c r="W76" s="713"/>
      <c r="X76" s="713"/>
      <c r="Y76" s="713"/>
      <c r="Z76" s="713"/>
      <c r="AA76" s="713"/>
      <c r="AB76" s="713"/>
      <c r="AC76" s="713"/>
      <c r="AD76" s="713"/>
      <c r="AE76" s="713"/>
      <c r="AF76" s="713"/>
      <c r="AG76" s="713"/>
      <c r="AH76" s="713"/>
      <c r="AI76" s="713"/>
      <c r="AJ76" s="713"/>
      <c r="AK76" s="713"/>
      <c r="AL76" s="713"/>
      <c r="AM76" s="713"/>
      <c r="AN76" s="713"/>
      <c r="AO76" s="713"/>
      <c r="AP76" s="713"/>
      <c r="AQ76" s="715"/>
    </row>
    <row r="77" spans="1:43" s="707" customFormat="1" ht="12.75" customHeight="1" x14ac:dyDescent="0.25">
      <c r="A77" s="8"/>
      <c r="B77" s="8"/>
      <c r="C77" s="8"/>
      <c r="D77" s="8"/>
      <c r="E77" s="8"/>
      <c r="F77" s="8"/>
      <c r="G77" s="8"/>
      <c r="H77" s="8"/>
      <c r="I77" s="8"/>
      <c r="J77" s="1112"/>
      <c r="K77" s="1112"/>
      <c r="L77" s="1112"/>
      <c r="M77" s="1112"/>
      <c r="N77" s="697"/>
      <c r="O77" s="752"/>
      <c r="P77" s="1117"/>
      <c r="Q77" s="1118"/>
      <c r="R77" s="8"/>
      <c r="S77" s="8"/>
      <c r="T77" s="8"/>
      <c r="U77" s="8"/>
      <c r="V77" s="713"/>
      <c r="W77" s="713"/>
      <c r="X77" s="713"/>
      <c r="Y77" s="713"/>
      <c r="Z77" s="713"/>
      <c r="AA77" s="713"/>
      <c r="AB77" s="713"/>
      <c r="AC77" s="713"/>
      <c r="AD77" s="713"/>
      <c r="AE77" s="713"/>
      <c r="AF77" s="713"/>
      <c r="AG77" s="713"/>
      <c r="AH77" s="713"/>
      <c r="AI77" s="713"/>
      <c r="AJ77" s="713"/>
      <c r="AK77" s="713"/>
      <c r="AL77" s="713"/>
      <c r="AM77" s="713"/>
      <c r="AN77" s="713"/>
      <c r="AO77" s="713"/>
      <c r="AP77" s="713"/>
      <c r="AQ77" s="715"/>
    </row>
    <row r="78" spans="1:43" s="707" customFormat="1" ht="12.75" customHeight="1" x14ac:dyDescent="0.25">
      <c r="A78" s="8"/>
      <c r="B78" s="8"/>
      <c r="C78" s="11" t="s">
        <v>148</v>
      </c>
      <c r="D78" s="11"/>
      <c r="E78" s="11"/>
      <c r="F78" s="11"/>
      <c r="G78" s="11"/>
      <c r="H78" s="11"/>
      <c r="I78" s="8"/>
      <c r="J78" s="747"/>
      <c r="K78" s="747"/>
      <c r="L78" s="747"/>
      <c r="M78" s="747"/>
      <c r="N78" s="1595"/>
      <c r="O78" s="1596"/>
      <c r="P78" s="1624"/>
      <c r="Q78" s="1625"/>
      <c r="R78" s="8"/>
      <c r="S78" s="8"/>
      <c r="T78" s="8"/>
      <c r="U78" s="8"/>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5"/>
    </row>
    <row r="79" spans="1:43" s="707" customFormat="1" ht="12.75" customHeight="1" x14ac:dyDescent="0.25">
      <c r="A79" s="8"/>
      <c r="B79" s="8"/>
      <c r="C79" s="8"/>
      <c r="D79" s="8"/>
      <c r="E79" s="1411" t="s">
        <v>629</v>
      </c>
      <c r="F79" s="8"/>
      <c r="G79" s="8"/>
      <c r="H79" s="8"/>
      <c r="I79" s="8"/>
      <c r="J79" s="1406" t="s">
        <v>617</v>
      </c>
      <c r="K79" s="1112"/>
      <c r="L79" s="1112"/>
      <c r="M79" s="1112"/>
      <c r="N79" s="1601" t="e">
        <f>'I. Summary Outputs'!L152</f>
        <v>#VALUE!</v>
      </c>
      <c r="O79" s="1602"/>
      <c r="P79" s="1626" t="e">
        <f>'I. Summary Outputs'!N152</f>
        <v>#VALUE!</v>
      </c>
      <c r="Q79" s="1627"/>
      <c r="R79" s="8"/>
      <c r="S79" s="8"/>
      <c r="T79" s="8"/>
      <c r="U79" s="8"/>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5"/>
    </row>
    <row r="80" spans="1:43" s="707" customFormat="1" ht="12.75" customHeight="1" x14ac:dyDescent="0.25">
      <c r="A80" s="8"/>
      <c r="B80" s="8"/>
      <c r="C80" s="8"/>
      <c r="D80" s="8"/>
      <c r="E80" s="1411" t="s">
        <v>630</v>
      </c>
      <c r="F80" s="8"/>
      <c r="G80" s="8"/>
      <c r="H80" s="8"/>
      <c r="I80" s="8"/>
      <c r="J80" s="1406" t="s">
        <v>617</v>
      </c>
      <c r="K80" s="1406"/>
      <c r="L80" s="1406"/>
      <c r="M80" s="1406"/>
      <c r="N80" s="1601" t="e">
        <f>'I. Summary Outputs'!L153</f>
        <v>#VALUE!</v>
      </c>
      <c r="O80" s="1602"/>
      <c r="P80" s="1626" t="e">
        <f>'I. Summary Outputs'!N153</f>
        <v>#VALUE!</v>
      </c>
      <c r="Q80" s="1627"/>
      <c r="R80" s="8"/>
      <c r="S80" s="8"/>
      <c r="T80" s="8"/>
      <c r="U80" s="8"/>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5"/>
    </row>
    <row r="81" spans="1:45" s="707" customFormat="1" ht="12.75" customHeight="1" x14ac:dyDescent="0.25">
      <c r="A81" s="8"/>
      <c r="B81" s="8"/>
      <c r="C81" s="8"/>
      <c r="D81" s="8"/>
      <c r="E81" s="1411" t="s">
        <v>631</v>
      </c>
      <c r="F81" s="8"/>
      <c r="G81" s="8"/>
      <c r="H81" s="8"/>
      <c r="I81" s="8"/>
      <c r="J81" s="1406" t="s">
        <v>617</v>
      </c>
      <c r="K81" s="1406"/>
      <c r="L81" s="1406"/>
      <c r="M81" s="1406"/>
      <c r="N81" s="1601" t="e">
        <f>'I. Summary Outputs'!L154</f>
        <v>#VALUE!</v>
      </c>
      <c r="O81" s="1602"/>
      <c r="P81" s="1626" t="e">
        <f>'I. Summary Outputs'!N154</f>
        <v>#VALUE!</v>
      </c>
      <c r="Q81" s="1627"/>
      <c r="R81" s="8"/>
      <c r="S81" s="8"/>
      <c r="T81" s="8"/>
      <c r="U81" s="8"/>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5"/>
    </row>
    <row r="82" spans="1:45" s="711" customFormat="1" ht="12.75" customHeight="1" x14ac:dyDescent="0.25">
      <c r="A82" s="11"/>
      <c r="B82" s="11"/>
      <c r="C82" s="11"/>
      <c r="D82" s="11" t="s">
        <v>632</v>
      </c>
      <c r="E82" s="11"/>
      <c r="F82" s="11"/>
      <c r="G82" s="11"/>
      <c r="H82" s="11"/>
      <c r="I82" s="11"/>
      <c r="J82" s="1410" t="s">
        <v>617</v>
      </c>
      <c r="K82" s="1410"/>
      <c r="L82" s="1410"/>
      <c r="M82" s="1410"/>
      <c r="N82" s="1603" t="e">
        <f>'I. Summary Outputs'!L155</f>
        <v>#VALUE!</v>
      </c>
      <c r="O82" s="1604"/>
      <c r="P82" s="1632" t="e">
        <f>'I. Summary Outputs'!N155</f>
        <v>#VALUE!</v>
      </c>
      <c r="Q82" s="1633"/>
      <c r="R82" s="11"/>
      <c r="S82" s="11"/>
      <c r="T82" s="11"/>
      <c r="U82" s="11"/>
      <c r="V82" s="714"/>
      <c r="W82" s="714"/>
      <c r="X82" s="714"/>
      <c r="Y82" s="714"/>
      <c r="Z82" s="714"/>
      <c r="AA82" s="714"/>
      <c r="AB82" s="714"/>
      <c r="AC82" s="714"/>
      <c r="AD82" s="714"/>
      <c r="AE82" s="714"/>
      <c r="AF82" s="714"/>
      <c r="AG82" s="714"/>
      <c r="AH82" s="714"/>
      <c r="AI82" s="714"/>
      <c r="AJ82" s="714"/>
      <c r="AK82" s="714"/>
      <c r="AL82" s="714"/>
      <c r="AM82" s="714"/>
      <c r="AN82" s="714"/>
      <c r="AO82" s="714"/>
      <c r="AP82" s="714"/>
      <c r="AQ82" s="1412"/>
    </row>
    <row r="83" spans="1:45" s="707" customFormat="1" ht="12.75" customHeight="1" x14ac:dyDescent="0.25">
      <c r="A83" s="8"/>
      <c r="B83" s="8"/>
      <c r="C83" s="8"/>
      <c r="D83" s="8" t="s">
        <v>628</v>
      </c>
      <c r="E83" s="8"/>
      <c r="F83" s="8"/>
      <c r="G83" s="8"/>
      <c r="H83" s="8"/>
      <c r="I83" s="8"/>
      <c r="J83" s="1406" t="s">
        <v>16</v>
      </c>
      <c r="K83" s="1112"/>
      <c r="L83" s="1112"/>
      <c r="M83" s="1112"/>
      <c r="N83" s="753"/>
      <c r="O83" s="698"/>
      <c r="P83" s="1622" t="e">
        <f>'I. Summary Outputs'!N156</f>
        <v>#VALUE!</v>
      </c>
      <c r="Q83" s="1623"/>
      <c r="R83" s="8"/>
      <c r="S83" s="8"/>
      <c r="T83" s="8"/>
      <c r="U83" s="8"/>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5"/>
    </row>
    <row r="84" spans="1:45" s="707" customFormat="1" ht="12.75" customHeight="1" x14ac:dyDescent="0.25">
      <c r="A84" s="8"/>
      <c r="B84" s="8"/>
      <c r="C84" s="8"/>
      <c r="D84" s="1634" t="s">
        <v>536</v>
      </c>
      <c r="E84" s="1634"/>
      <c r="F84" s="1634"/>
      <c r="G84" s="1634"/>
      <c r="H84" s="1634"/>
      <c r="I84" s="1634"/>
      <c r="J84" s="1112" t="s">
        <v>366</v>
      </c>
      <c r="K84" s="1112"/>
      <c r="L84" s="1112"/>
      <c r="M84" s="1112"/>
      <c r="N84" s="1599" t="e">
        <f>'I. Summary Outputs'!L157</f>
        <v>#VALUE!</v>
      </c>
      <c r="O84" s="1600"/>
      <c r="P84" s="1616" t="e">
        <f>'I. Summary Outputs'!N157</f>
        <v>#VALUE!</v>
      </c>
      <c r="Q84" s="1617"/>
      <c r="R84" s="8"/>
      <c r="S84" s="8"/>
      <c r="T84" s="8"/>
      <c r="U84" s="8"/>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5"/>
    </row>
    <row r="85" spans="1:45" s="707" customFormat="1" ht="12.75" customHeight="1" x14ac:dyDescent="0.25">
      <c r="A85" s="708"/>
      <c r="F85" s="712"/>
      <c r="G85" s="712"/>
      <c r="H85" s="712"/>
      <c r="I85" s="712"/>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5"/>
    </row>
    <row r="86" spans="1:45" s="707" customFormat="1" ht="12.75" customHeight="1" x14ac:dyDescent="0.25">
      <c r="A86" s="708"/>
      <c r="F86" s="712"/>
      <c r="G86" s="712"/>
      <c r="H86" s="712"/>
      <c r="I86" s="712"/>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5"/>
    </row>
    <row r="87" spans="1:45" s="711" customFormat="1" ht="12.75" customHeight="1" x14ac:dyDescent="0.25">
      <c r="A87" s="44" t="s">
        <v>539</v>
      </c>
      <c r="B87" s="44"/>
      <c r="C87" s="44"/>
      <c r="D87" s="44"/>
      <c r="E87" s="44"/>
      <c r="F87" s="44"/>
      <c r="G87" s="44"/>
      <c r="H87" s="44"/>
      <c r="I87" s="44"/>
      <c r="J87" s="45"/>
      <c r="K87" s="45"/>
      <c r="L87" s="45"/>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714"/>
      <c r="AQ87" s="715"/>
      <c r="AR87" s="707"/>
      <c r="AS87" s="707"/>
    </row>
    <row r="88" spans="1:45" s="711" customFormat="1" ht="12.75" customHeight="1" x14ac:dyDescent="0.25">
      <c r="A88" s="710"/>
      <c r="B88" s="707"/>
      <c r="C88" s="707"/>
      <c r="F88" s="712"/>
      <c r="G88" s="712"/>
      <c r="H88" s="712"/>
      <c r="I88" s="712"/>
      <c r="J88" s="713"/>
      <c r="K88" s="713"/>
      <c r="L88" s="713"/>
      <c r="M88" s="713"/>
      <c r="N88" s="713"/>
      <c r="O88" s="713"/>
      <c r="P88" s="713"/>
      <c r="Q88" s="713"/>
      <c r="R88" s="713"/>
      <c r="S88" s="713"/>
      <c r="T88" s="713"/>
      <c r="U88" s="713"/>
      <c r="V88" s="713"/>
      <c r="W88" s="713"/>
      <c r="X88" s="713"/>
      <c r="Y88" s="713"/>
      <c r="Z88" s="713"/>
      <c r="AA88" s="713"/>
      <c r="AB88" s="713"/>
      <c r="AC88" s="713"/>
      <c r="AD88" s="713"/>
      <c r="AE88" s="713"/>
      <c r="AF88" s="713"/>
      <c r="AG88" s="713"/>
      <c r="AH88" s="713"/>
      <c r="AI88" s="713"/>
      <c r="AJ88" s="713"/>
      <c r="AK88" s="713"/>
      <c r="AL88" s="713"/>
      <c r="AM88" s="713"/>
      <c r="AN88" s="713"/>
      <c r="AO88" s="713"/>
      <c r="AP88" s="714"/>
      <c r="AQ88" s="715"/>
      <c r="AR88" s="707"/>
      <c r="AS88" s="707"/>
    </row>
    <row r="89" spans="1:45" s="711" customFormat="1" ht="12.75" customHeight="1" x14ac:dyDescent="0.25">
      <c r="A89" s="710"/>
      <c r="B89" s="55" t="s">
        <v>518</v>
      </c>
      <c r="C89" s="55"/>
      <c r="D89" s="81"/>
      <c r="E89" s="81"/>
      <c r="F89" s="81"/>
      <c r="G89" s="81"/>
      <c r="H89" s="81"/>
      <c r="I89" s="81"/>
      <c r="J89" s="81"/>
      <c r="K89" s="81"/>
      <c r="L89" s="81"/>
      <c r="M89" s="81"/>
      <c r="N89" s="81"/>
      <c r="O89" s="55"/>
      <c r="P89" s="55"/>
      <c r="Q89" s="55"/>
      <c r="R89" s="788"/>
      <c r="S89" s="788"/>
      <c r="T89" s="788"/>
      <c r="U89" s="788"/>
      <c r="V89" s="788"/>
      <c r="W89" s="788"/>
      <c r="X89" s="788"/>
      <c r="Y89" s="788"/>
      <c r="Z89" s="788"/>
      <c r="AA89" s="788"/>
      <c r="AB89" s="788"/>
      <c r="AC89" s="788"/>
      <c r="AD89" s="788"/>
      <c r="AE89" s="788"/>
      <c r="AF89" s="788"/>
      <c r="AG89" s="788"/>
      <c r="AH89" s="788"/>
      <c r="AI89" s="788"/>
      <c r="AJ89" s="788"/>
      <c r="AK89" s="788"/>
      <c r="AL89" s="788"/>
      <c r="AM89" s="788"/>
      <c r="AN89" s="788"/>
      <c r="AO89" s="788"/>
      <c r="AP89" s="714"/>
      <c r="AQ89" s="715"/>
      <c r="AR89" s="707"/>
      <c r="AS89" s="707"/>
    </row>
    <row r="90" spans="1:45" s="711" customFormat="1" ht="12.75" customHeight="1" x14ac:dyDescent="0.25">
      <c r="A90" s="710"/>
      <c r="B90" s="707"/>
      <c r="C90" s="707"/>
      <c r="F90" s="712"/>
      <c r="G90" s="712"/>
      <c r="H90" s="712"/>
      <c r="I90" s="712"/>
      <c r="J90" s="713"/>
      <c r="K90" s="713"/>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3"/>
      <c r="AM90" s="713"/>
      <c r="AN90" s="713"/>
      <c r="AO90" s="713"/>
      <c r="AP90" s="714"/>
      <c r="AQ90" s="715"/>
      <c r="AR90" s="707"/>
      <c r="AS90" s="707"/>
    </row>
    <row r="91" spans="1:45" s="711" customFormat="1" ht="12.75" customHeight="1" x14ac:dyDescent="0.3">
      <c r="A91" s="710"/>
      <c r="B91" s="707"/>
      <c r="C91" s="707" t="s">
        <v>516</v>
      </c>
      <c r="F91" s="712"/>
      <c r="G91" s="712"/>
      <c r="I91" s="712"/>
      <c r="J91" s="713"/>
      <c r="K91" s="713"/>
      <c r="L91" s="713"/>
      <c r="M91" s="713"/>
      <c r="N91" s="713"/>
      <c r="O91" s="2005" t="s">
        <v>538</v>
      </c>
      <c r="P91" s="2006"/>
      <c r="Q91" s="713"/>
      <c r="R91" s="713"/>
      <c r="S91" s="713"/>
      <c r="T91" s="713"/>
      <c r="U91" s="713"/>
      <c r="V91" s="713"/>
      <c r="W91" s="713"/>
      <c r="X91" s="713"/>
      <c r="Y91" s="713"/>
      <c r="Z91" s="713"/>
      <c r="AA91" s="713"/>
      <c r="AB91" s="713"/>
      <c r="AC91" s="713"/>
      <c r="AD91" s="713"/>
      <c r="AE91" s="713"/>
      <c r="AF91" s="713"/>
      <c r="AG91" s="713"/>
      <c r="AH91" s="713"/>
      <c r="AI91" s="713"/>
      <c r="AJ91" s="713"/>
      <c r="AK91" s="713"/>
      <c r="AL91" s="713"/>
      <c r="AM91" s="713"/>
      <c r="AN91" s="713"/>
      <c r="AO91" s="713"/>
      <c r="AP91" s="714"/>
      <c r="AQ91" s="715"/>
      <c r="AR91" s="707"/>
      <c r="AS91" s="707"/>
    </row>
    <row r="92" spans="1:45" s="711" customFormat="1" ht="12.75" customHeight="1" x14ac:dyDescent="0.25">
      <c r="A92" s="710"/>
      <c r="B92" s="707"/>
      <c r="C92" s="707"/>
      <c r="D92" s="707" t="s">
        <v>517</v>
      </c>
      <c r="F92" s="712"/>
      <c r="G92" s="712"/>
      <c r="I92" s="712"/>
      <c r="J92" s="68" t="s">
        <v>615</v>
      </c>
      <c r="K92" s="68"/>
      <c r="L92" s="68"/>
      <c r="M92" s="713"/>
      <c r="N92" s="713"/>
      <c r="O92" s="2042">
        <v>0</v>
      </c>
      <c r="P92" s="2043"/>
      <c r="Q92" s="713"/>
      <c r="R92" s="713"/>
      <c r="S92" s="713"/>
      <c r="T92" s="713"/>
      <c r="U92" s="713"/>
      <c r="V92" s="713"/>
      <c r="W92" s="713"/>
      <c r="X92" s="713"/>
      <c r="Y92" s="713"/>
      <c r="Z92" s="713"/>
      <c r="AA92" s="713"/>
      <c r="AB92" s="713"/>
      <c r="AC92" s="713"/>
      <c r="AD92" s="713"/>
      <c r="AE92" s="713"/>
      <c r="AF92" s="713"/>
      <c r="AG92" s="713"/>
      <c r="AH92" s="713"/>
      <c r="AI92" s="713"/>
      <c r="AJ92" s="713"/>
      <c r="AK92" s="713"/>
      <c r="AL92" s="713"/>
      <c r="AM92" s="713"/>
      <c r="AN92" s="713"/>
      <c r="AO92" s="713"/>
      <c r="AP92" s="714"/>
      <c r="AQ92" s="715"/>
      <c r="AR92" s="707"/>
      <c r="AS92" s="707"/>
    </row>
    <row r="93" spans="1:45" s="711" customFormat="1" ht="12.75" customHeight="1" x14ac:dyDescent="0.25">
      <c r="A93" s="710"/>
      <c r="B93" s="707"/>
      <c r="C93" s="707"/>
      <c r="D93" s="707" t="s">
        <v>591</v>
      </c>
      <c r="F93" s="712"/>
      <c r="G93" s="712"/>
      <c r="I93" s="712"/>
      <c r="J93" s="68" t="s">
        <v>615</v>
      </c>
      <c r="K93" s="68"/>
      <c r="L93" s="68"/>
      <c r="M93" s="713"/>
      <c r="N93" s="713"/>
      <c r="O93" s="2044">
        <v>0</v>
      </c>
      <c r="P93" s="2045">
        <f>1530000/1.37</f>
        <v>1116788.3211678832</v>
      </c>
      <c r="Q93" s="713"/>
      <c r="R93" s="713"/>
      <c r="S93" s="713"/>
      <c r="T93" s="713"/>
      <c r="U93" s="713"/>
      <c r="V93" s="713"/>
      <c r="W93" s="713"/>
      <c r="X93" s="713"/>
      <c r="Y93" s="713"/>
      <c r="Z93" s="713"/>
      <c r="AA93" s="713"/>
      <c r="AB93" s="713"/>
      <c r="AC93" s="713"/>
      <c r="AD93" s="713"/>
      <c r="AE93" s="713"/>
      <c r="AF93" s="713"/>
      <c r="AG93" s="713"/>
      <c r="AH93" s="713"/>
      <c r="AI93" s="713"/>
      <c r="AJ93" s="713"/>
      <c r="AK93" s="713"/>
      <c r="AL93" s="713"/>
      <c r="AM93" s="713"/>
      <c r="AN93" s="713"/>
      <c r="AO93" s="713"/>
      <c r="AP93" s="714"/>
      <c r="AQ93" s="715"/>
      <c r="AR93" s="707"/>
      <c r="AS93" s="707"/>
    </row>
    <row r="94" spans="1:45" s="711" customFormat="1" ht="12.75" customHeight="1" x14ac:dyDescent="0.25">
      <c r="A94" s="710"/>
      <c r="B94" s="707"/>
      <c r="C94" s="707"/>
      <c r="F94" s="712"/>
      <c r="G94" s="712"/>
      <c r="H94" s="712"/>
      <c r="I94" s="712"/>
      <c r="J94" s="713"/>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713"/>
      <c r="AK94" s="713"/>
      <c r="AL94" s="713"/>
      <c r="AM94" s="713"/>
      <c r="AN94" s="713"/>
      <c r="AO94" s="713"/>
      <c r="AP94" s="714"/>
      <c r="AQ94" s="715"/>
      <c r="AR94" s="707"/>
      <c r="AS94" s="707"/>
    </row>
    <row r="95" spans="1:45" s="711" customFormat="1" ht="12.75" customHeight="1" x14ac:dyDescent="0.25">
      <c r="A95" s="710"/>
      <c r="B95" s="707"/>
      <c r="C95" s="707"/>
      <c r="F95" s="712"/>
      <c r="G95" s="712"/>
      <c r="H95" s="712"/>
      <c r="I95" s="712"/>
      <c r="J95" s="713"/>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13"/>
      <c r="AM95" s="713"/>
      <c r="AN95" s="713"/>
      <c r="AO95" s="713"/>
      <c r="AP95" s="714"/>
      <c r="AQ95" s="715"/>
      <c r="AR95" s="707"/>
      <c r="AS95" s="707"/>
    </row>
    <row r="96" spans="1:45" s="711" customFormat="1" ht="12.75" customHeight="1" x14ac:dyDescent="0.25">
      <c r="A96" s="710"/>
      <c r="B96" s="52" t="s">
        <v>592</v>
      </c>
      <c r="C96" s="21"/>
      <c r="D96" s="21"/>
      <c r="E96" s="21"/>
      <c r="F96" s="21"/>
      <c r="G96" s="21"/>
      <c r="H96" s="21"/>
      <c r="I96" s="21"/>
      <c r="J96" s="22"/>
      <c r="K96" s="22"/>
      <c r="L96" s="22"/>
      <c r="M96" s="22"/>
      <c r="N96" s="22"/>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714"/>
      <c r="AQ96" s="715"/>
      <c r="AR96" s="707"/>
      <c r="AS96" s="707"/>
    </row>
    <row r="97" spans="1:45" s="711" customFormat="1" ht="12.75" customHeight="1" x14ac:dyDescent="0.25">
      <c r="A97" s="710"/>
      <c r="B97" s="8"/>
      <c r="C97" s="8"/>
      <c r="D97" s="8"/>
      <c r="E97" s="8"/>
      <c r="F97" s="8"/>
      <c r="G97" s="8"/>
      <c r="H97" s="8"/>
      <c r="I97" s="11"/>
      <c r="J97" s="1115"/>
      <c r="K97" s="1115"/>
      <c r="L97" s="1115"/>
      <c r="M97" s="1115"/>
      <c r="N97" s="1115"/>
      <c r="O97" s="1115"/>
      <c r="P97" s="40"/>
      <c r="Q97" s="8"/>
      <c r="R97" s="8"/>
      <c r="S97" s="8"/>
      <c r="T97" s="8"/>
      <c r="U97" s="8"/>
      <c r="V97" s="713"/>
      <c r="W97" s="713"/>
      <c r="X97" s="713"/>
      <c r="Y97" s="713"/>
      <c r="Z97" s="713"/>
      <c r="AA97" s="713"/>
      <c r="AB97" s="713"/>
      <c r="AC97" s="713"/>
      <c r="AD97" s="713"/>
      <c r="AE97" s="713"/>
      <c r="AF97" s="713"/>
      <c r="AG97" s="713"/>
      <c r="AH97" s="713"/>
      <c r="AI97" s="713"/>
      <c r="AJ97" s="713"/>
      <c r="AK97" s="713"/>
      <c r="AL97" s="713"/>
      <c r="AM97" s="713"/>
      <c r="AN97" s="713"/>
      <c r="AO97" s="713"/>
      <c r="AP97" s="714"/>
      <c r="AQ97" s="715"/>
      <c r="AR97" s="707"/>
      <c r="AS97" s="707"/>
    </row>
    <row r="98" spans="1:45" s="711" customFormat="1" ht="12.75" customHeight="1" x14ac:dyDescent="0.25">
      <c r="A98" s="710"/>
      <c r="B98" s="8"/>
      <c r="C98" s="8"/>
      <c r="D98" s="8"/>
      <c r="E98" s="8"/>
      <c r="F98" s="8"/>
      <c r="G98" s="8"/>
      <c r="H98" s="8"/>
      <c r="I98" s="11"/>
      <c r="J98" s="1115"/>
      <c r="K98" s="1115"/>
      <c r="L98" s="1115"/>
      <c r="M98" s="1115"/>
      <c r="N98" s="1115"/>
      <c r="O98" s="1115"/>
      <c r="P98" s="40"/>
      <c r="Q98" s="8"/>
      <c r="R98" s="8"/>
      <c r="S98" s="8"/>
      <c r="T98" s="8"/>
      <c r="U98" s="8"/>
      <c r="V98" s="713"/>
      <c r="W98" s="713"/>
      <c r="X98" s="713"/>
      <c r="Y98" s="713"/>
      <c r="Z98" s="713"/>
      <c r="AA98" s="713"/>
      <c r="AB98" s="713"/>
      <c r="AC98" s="713"/>
      <c r="AD98" s="713"/>
      <c r="AE98" s="713"/>
      <c r="AF98" s="713"/>
      <c r="AG98" s="713"/>
      <c r="AH98" s="713"/>
      <c r="AI98" s="713"/>
      <c r="AJ98" s="713"/>
      <c r="AK98" s="713"/>
      <c r="AL98" s="713"/>
      <c r="AM98" s="713"/>
      <c r="AN98" s="713"/>
      <c r="AO98" s="713"/>
      <c r="AP98" s="714"/>
      <c r="AQ98" s="715"/>
      <c r="AR98" s="707"/>
      <c r="AS98" s="707"/>
    </row>
    <row r="99" spans="1:45" s="711" customFormat="1" ht="12.75" customHeight="1" x14ac:dyDescent="0.25">
      <c r="A99" s="710"/>
      <c r="B99" s="8"/>
      <c r="C99" s="8"/>
      <c r="D99" s="8"/>
      <c r="E99" s="8"/>
      <c r="F99" s="8"/>
      <c r="G99" s="8"/>
      <c r="H99" s="8"/>
      <c r="I99" s="8"/>
      <c r="J99" s="1112"/>
      <c r="K99" s="1112"/>
      <c r="L99" s="1112"/>
      <c r="M99" s="1112"/>
      <c r="N99" s="1518" t="s">
        <v>464</v>
      </c>
      <c r="O99" s="1553"/>
      <c r="P99" s="1553"/>
      <c r="Q99" s="1554"/>
      <c r="R99" s="8"/>
      <c r="S99" s="8"/>
      <c r="T99" s="8"/>
      <c r="U99" s="8"/>
      <c r="V99" s="713"/>
      <c r="W99" s="713"/>
      <c r="X99" s="713"/>
      <c r="Y99" s="713"/>
      <c r="Z99" s="713"/>
      <c r="AA99" s="713"/>
      <c r="AB99" s="713"/>
      <c r="AC99" s="713"/>
      <c r="AD99" s="713"/>
      <c r="AE99" s="713"/>
      <c r="AF99" s="713"/>
      <c r="AG99" s="713"/>
      <c r="AH99" s="713"/>
      <c r="AI99" s="713"/>
      <c r="AJ99" s="713"/>
      <c r="AK99" s="713"/>
      <c r="AL99" s="713"/>
      <c r="AM99" s="713"/>
      <c r="AN99" s="713"/>
      <c r="AO99" s="713"/>
      <c r="AP99" s="714"/>
      <c r="AQ99" s="715"/>
      <c r="AR99" s="707"/>
      <c r="AS99" s="707"/>
    </row>
    <row r="100" spans="1:45" s="711" customFormat="1" ht="12.75" customHeight="1" x14ac:dyDescent="0.25">
      <c r="A100" s="710"/>
      <c r="B100" s="8"/>
      <c r="C100" s="8"/>
      <c r="D100" s="8"/>
      <c r="E100" s="8"/>
      <c r="F100" s="8"/>
      <c r="G100" s="8"/>
      <c r="H100" s="8"/>
      <c r="I100" s="8"/>
      <c r="J100" s="1112"/>
      <c r="K100" s="1112"/>
      <c r="L100" s="1112"/>
      <c r="M100" s="1112"/>
      <c r="N100" s="1501" t="s">
        <v>200</v>
      </c>
      <c r="O100" s="1502"/>
      <c r="P100" s="1503" t="s">
        <v>201</v>
      </c>
      <c r="Q100" s="1504"/>
      <c r="R100" s="8"/>
      <c r="S100" s="8"/>
      <c r="T100" s="8"/>
      <c r="U100" s="8"/>
      <c r="V100" s="713"/>
      <c r="W100" s="713"/>
      <c r="X100" s="713"/>
      <c r="Y100" s="713"/>
      <c r="Z100" s="713"/>
      <c r="AA100" s="713"/>
      <c r="AB100" s="713"/>
      <c r="AC100" s="713"/>
      <c r="AD100" s="713"/>
      <c r="AE100" s="713"/>
      <c r="AF100" s="713"/>
      <c r="AG100" s="713"/>
      <c r="AH100" s="713"/>
      <c r="AI100" s="713"/>
      <c r="AJ100" s="713"/>
      <c r="AK100" s="713"/>
      <c r="AL100" s="713"/>
      <c r="AM100" s="713"/>
      <c r="AN100" s="713"/>
      <c r="AO100" s="713"/>
      <c r="AP100" s="714"/>
      <c r="AQ100" s="715"/>
      <c r="AR100" s="707"/>
      <c r="AS100" s="707"/>
    </row>
    <row r="101" spans="1:45" s="711" customFormat="1" ht="12.75" customHeight="1" x14ac:dyDescent="0.25">
      <c r="A101" s="710"/>
      <c r="C101" s="11" t="s">
        <v>465</v>
      </c>
      <c r="E101" s="11"/>
      <c r="F101" s="11"/>
      <c r="G101" s="11"/>
      <c r="H101" s="11"/>
      <c r="I101" s="11"/>
      <c r="J101" s="1115" t="s">
        <v>614</v>
      </c>
      <c r="K101" s="1115"/>
      <c r="L101" s="1115"/>
      <c r="M101" s="1115"/>
      <c r="N101" s="1977">
        <v>0</v>
      </c>
      <c r="O101" s="1978"/>
      <c r="P101" s="1979">
        <v>0</v>
      </c>
      <c r="Q101" s="1980"/>
      <c r="R101" s="8"/>
      <c r="S101" s="8"/>
      <c r="T101" s="8"/>
      <c r="U101" s="8"/>
      <c r="V101" s="713"/>
      <c r="W101" s="713"/>
      <c r="X101" s="713"/>
      <c r="Y101" s="713"/>
      <c r="Z101" s="713"/>
      <c r="AA101" s="713"/>
      <c r="AB101" s="713"/>
      <c r="AC101" s="713"/>
      <c r="AD101" s="713"/>
      <c r="AE101" s="713"/>
      <c r="AF101" s="713"/>
      <c r="AG101" s="713"/>
      <c r="AH101" s="713"/>
      <c r="AI101" s="713"/>
      <c r="AJ101" s="713"/>
      <c r="AK101" s="713"/>
      <c r="AL101" s="713"/>
      <c r="AM101" s="713"/>
      <c r="AN101" s="713"/>
      <c r="AO101" s="713"/>
      <c r="AP101" s="714"/>
      <c r="AQ101" s="715"/>
      <c r="AR101" s="707"/>
      <c r="AS101" s="707"/>
    </row>
    <row r="102" spans="1:45" s="711" customFormat="1" ht="12.75" customHeight="1" x14ac:dyDescent="0.25">
      <c r="A102" s="710"/>
      <c r="D102" s="8" t="s">
        <v>466</v>
      </c>
      <c r="F102" s="11"/>
      <c r="G102" s="11"/>
      <c r="H102" s="11"/>
      <c r="I102" s="11"/>
      <c r="J102" s="1112" t="s">
        <v>614</v>
      </c>
      <c r="K102" s="1112"/>
      <c r="L102" s="1112"/>
      <c r="M102" s="1115"/>
      <c r="N102" s="2009">
        <v>0</v>
      </c>
      <c r="O102" s="2010"/>
      <c r="P102" s="2011">
        <v>0</v>
      </c>
      <c r="Q102" s="2012"/>
      <c r="R102" s="8"/>
      <c r="S102" s="8"/>
      <c r="T102" s="8"/>
      <c r="U102" s="8"/>
      <c r="V102" s="713"/>
      <c r="W102" s="713"/>
      <c r="X102" s="713"/>
      <c r="Y102" s="713"/>
      <c r="Z102" s="713"/>
      <c r="AA102" s="713"/>
      <c r="AB102" s="713"/>
      <c r="AC102" s="713"/>
      <c r="AD102" s="713"/>
      <c r="AE102" s="713"/>
      <c r="AF102" s="713"/>
      <c r="AG102" s="713"/>
      <c r="AH102" s="713"/>
      <c r="AI102" s="713"/>
      <c r="AJ102" s="713"/>
      <c r="AK102" s="713"/>
      <c r="AL102" s="713"/>
      <c r="AM102" s="713"/>
      <c r="AN102" s="713"/>
      <c r="AO102" s="713"/>
      <c r="AP102" s="714"/>
      <c r="AQ102" s="715"/>
      <c r="AR102" s="707"/>
      <c r="AS102" s="707"/>
    </row>
    <row r="103" spans="1:45" s="711" customFormat="1" ht="12.75" customHeight="1" x14ac:dyDescent="0.25">
      <c r="A103" s="710"/>
      <c r="D103" s="8" t="s">
        <v>496</v>
      </c>
      <c r="F103" s="11"/>
      <c r="G103" s="11"/>
      <c r="H103" s="11"/>
      <c r="I103" s="11"/>
      <c r="J103" s="1112" t="s">
        <v>614</v>
      </c>
      <c r="K103" s="1112"/>
      <c r="L103" s="1112"/>
      <c r="M103" s="1115"/>
      <c r="N103" s="2013">
        <v>0</v>
      </c>
      <c r="O103" s="2014"/>
      <c r="P103" s="2015">
        <v>0</v>
      </c>
      <c r="Q103" s="2016"/>
      <c r="R103" s="8"/>
      <c r="S103" s="8"/>
      <c r="T103" s="8"/>
      <c r="U103" s="8"/>
      <c r="V103" s="713"/>
      <c r="W103" s="713"/>
      <c r="X103" s="713"/>
      <c r="Y103" s="713"/>
      <c r="Z103" s="713"/>
      <c r="AA103" s="713"/>
      <c r="AB103" s="713"/>
      <c r="AC103" s="713"/>
      <c r="AD103" s="713"/>
      <c r="AE103" s="713"/>
      <c r="AF103" s="713"/>
      <c r="AG103" s="713"/>
      <c r="AH103" s="713"/>
      <c r="AI103" s="713"/>
      <c r="AJ103" s="713"/>
      <c r="AK103" s="713"/>
      <c r="AL103" s="713"/>
      <c r="AM103" s="713"/>
      <c r="AN103" s="713"/>
      <c r="AO103" s="713"/>
      <c r="AP103" s="714"/>
      <c r="AQ103" s="715"/>
      <c r="AR103" s="707"/>
      <c r="AS103" s="707"/>
    </row>
    <row r="104" spans="1:45" s="711" customFormat="1" ht="12.75" customHeight="1" x14ac:dyDescent="0.25">
      <c r="A104" s="710"/>
      <c r="B104" s="8"/>
      <c r="C104" s="8"/>
      <c r="D104" s="8"/>
      <c r="E104" s="8"/>
      <c r="F104" s="8"/>
      <c r="G104" s="8"/>
      <c r="H104" s="8"/>
      <c r="I104" s="11"/>
      <c r="J104" s="1115"/>
      <c r="K104" s="1115"/>
      <c r="L104" s="1115"/>
      <c r="M104" s="1115"/>
      <c r="N104" s="1115"/>
      <c r="O104" s="1115"/>
      <c r="P104" s="40"/>
      <c r="Q104" s="8"/>
      <c r="R104" s="8"/>
      <c r="S104" s="8"/>
      <c r="T104" s="8"/>
      <c r="U104" s="8"/>
      <c r="V104" s="713"/>
      <c r="W104" s="713"/>
      <c r="X104" s="713"/>
      <c r="Y104" s="713"/>
      <c r="Z104" s="713"/>
      <c r="AA104" s="713"/>
      <c r="AB104" s="713"/>
      <c r="AC104" s="713"/>
      <c r="AD104" s="713"/>
      <c r="AE104" s="713"/>
      <c r="AF104" s="713"/>
      <c r="AG104" s="713"/>
      <c r="AH104" s="713"/>
      <c r="AI104" s="713"/>
      <c r="AJ104" s="713"/>
      <c r="AK104" s="713"/>
      <c r="AL104" s="713"/>
      <c r="AM104" s="713"/>
      <c r="AN104" s="713"/>
      <c r="AO104" s="713"/>
      <c r="AP104" s="714"/>
      <c r="AQ104" s="715"/>
      <c r="AR104" s="707"/>
      <c r="AS104" s="707"/>
    </row>
    <row r="105" spans="1:45" s="711" customFormat="1" ht="12.75" customHeight="1" x14ac:dyDescent="0.25">
      <c r="A105" s="710"/>
      <c r="B105" s="8"/>
      <c r="C105" s="8"/>
      <c r="D105" s="8"/>
      <c r="E105" s="8"/>
      <c r="F105" s="8"/>
      <c r="G105" s="8"/>
      <c r="H105" s="8"/>
      <c r="I105" s="11"/>
      <c r="J105" s="1115"/>
      <c r="K105" s="1115"/>
      <c r="L105" s="1115"/>
      <c r="M105" s="1115"/>
      <c r="N105" s="1115"/>
      <c r="O105" s="1115"/>
      <c r="P105" s="40"/>
      <c r="Q105" s="8"/>
      <c r="R105" s="8"/>
      <c r="S105" s="8"/>
      <c r="T105" s="8"/>
      <c r="U105" s="8"/>
      <c r="V105" s="713"/>
      <c r="W105" s="713"/>
      <c r="X105" s="713"/>
      <c r="Y105" s="713"/>
      <c r="Z105" s="713"/>
      <c r="AA105" s="713"/>
      <c r="AB105" s="713"/>
      <c r="AC105" s="713"/>
      <c r="AD105" s="713"/>
      <c r="AE105" s="713"/>
      <c r="AF105" s="713"/>
      <c r="AG105" s="713"/>
      <c r="AH105" s="713"/>
      <c r="AI105" s="713"/>
      <c r="AJ105" s="713"/>
      <c r="AK105" s="713"/>
      <c r="AL105" s="713"/>
      <c r="AM105" s="713"/>
      <c r="AN105" s="713"/>
      <c r="AO105" s="713"/>
      <c r="AP105" s="714"/>
      <c r="AQ105" s="715"/>
      <c r="AR105" s="707"/>
      <c r="AS105" s="707"/>
    </row>
    <row r="106" spans="1:45" s="711" customFormat="1" ht="12.75" customHeight="1" x14ac:dyDescent="0.25">
      <c r="A106" s="710"/>
      <c r="B106" s="8"/>
      <c r="C106" s="8"/>
      <c r="D106" s="8"/>
      <c r="E106" s="8"/>
      <c r="F106" s="8"/>
      <c r="G106" s="8"/>
      <c r="H106" s="8"/>
      <c r="I106" s="8"/>
      <c r="J106" s="1115"/>
      <c r="K106" s="1115"/>
      <c r="L106" s="1115"/>
      <c r="M106" s="1115"/>
      <c r="N106" s="1583" t="s">
        <v>464</v>
      </c>
      <c r="O106" s="1584"/>
      <c r="P106" s="1584"/>
      <c r="Q106" s="1585"/>
      <c r="R106" s="8"/>
      <c r="S106" s="8"/>
      <c r="T106" s="8"/>
      <c r="U106" s="8"/>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4"/>
      <c r="AQ106" s="715"/>
      <c r="AR106" s="707"/>
      <c r="AS106" s="707"/>
    </row>
    <row r="107" spans="1:45" s="711" customFormat="1" ht="12.75" customHeight="1" x14ac:dyDescent="0.25">
      <c r="A107" s="710"/>
      <c r="B107" s="8"/>
      <c r="C107" s="11"/>
      <c r="D107" s="11"/>
      <c r="E107" s="11"/>
      <c r="F107" s="11"/>
      <c r="G107" s="11"/>
      <c r="H107" s="11"/>
      <c r="I107" s="8"/>
      <c r="J107" s="1115"/>
      <c r="K107" s="1115"/>
      <c r="L107" s="1115"/>
      <c r="M107" s="1115"/>
      <c r="N107" s="1501" t="s">
        <v>200</v>
      </c>
      <c r="O107" s="1502"/>
      <c r="P107" s="1503" t="s">
        <v>201</v>
      </c>
      <c r="Q107" s="1504"/>
      <c r="R107" s="8"/>
      <c r="S107" s="8"/>
      <c r="T107" s="8"/>
      <c r="U107" s="8"/>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4"/>
      <c r="AQ107" s="715"/>
      <c r="AR107" s="707"/>
      <c r="AS107" s="707"/>
    </row>
    <row r="108" spans="1:45" s="711" customFormat="1" ht="12.75" customHeight="1" x14ac:dyDescent="0.25">
      <c r="A108" s="710"/>
      <c r="B108" s="8"/>
      <c r="C108" s="11" t="s">
        <v>146</v>
      </c>
      <c r="D108" s="11"/>
      <c r="E108" s="11"/>
      <c r="F108" s="11"/>
      <c r="G108" s="11"/>
      <c r="H108" s="11"/>
      <c r="I108" s="8"/>
      <c r="J108" s="1115"/>
      <c r="K108" s="1115"/>
      <c r="L108" s="1115"/>
      <c r="M108" s="1115"/>
      <c r="N108" s="1644"/>
      <c r="O108" s="1645"/>
      <c r="P108" s="1640"/>
      <c r="Q108" s="1641"/>
      <c r="R108" s="8"/>
      <c r="S108" s="8"/>
      <c r="T108" s="8"/>
      <c r="U108" s="8"/>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4"/>
      <c r="AQ108" s="715"/>
      <c r="AR108" s="707"/>
      <c r="AS108" s="707"/>
    </row>
    <row r="109" spans="1:45" s="711" customFormat="1" ht="12.75" customHeight="1" x14ac:dyDescent="0.25">
      <c r="A109" s="710"/>
      <c r="B109" s="8"/>
      <c r="C109" s="11"/>
      <c r="D109" s="11" t="s">
        <v>245</v>
      </c>
      <c r="E109" s="11"/>
      <c r="F109" s="11"/>
      <c r="G109" s="11"/>
      <c r="H109" s="11"/>
      <c r="I109" s="8"/>
      <c r="J109" s="1115"/>
      <c r="K109" s="1115"/>
      <c r="L109" s="1115"/>
      <c r="M109" s="1115"/>
      <c r="N109" s="1985">
        <v>0</v>
      </c>
      <c r="O109" s="1986"/>
      <c r="P109" s="1987">
        <v>0</v>
      </c>
      <c r="Q109" s="1988"/>
      <c r="R109" s="8"/>
      <c r="S109" s="8"/>
      <c r="T109" s="8"/>
      <c r="U109" s="8"/>
      <c r="V109" s="713"/>
      <c r="W109" s="713"/>
      <c r="X109" s="713"/>
      <c r="Y109" s="713"/>
      <c r="Z109" s="713"/>
      <c r="AA109" s="713"/>
      <c r="AB109" s="713"/>
      <c r="AC109" s="713"/>
      <c r="AD109" s="713"/>
      <c r="AE109" s="713"/>
      <c r="AF109" s="713"/>
      <c r="AG109" s="713"/>
      <c r="AH109" s="713"/>
      <c r="AI109" s="713"/>
      <c r="AJ109" s="713"/>
      <c r="AK109" s="713"/>
      <c r="AL109" s="713"/>
      <c r="AM109" s="713"/>
      <c r="AN109" s="713"/>
      <c r="AO109" s="713"/>
      <c r="AP109" s="714"/>
      <c r="AQ109" s="715"/>
      <c r="AR109" s="707"/>
      <c r="AS109" s="707"/>
    </row>
    <row r="110" spans="1:45" s="711" customFormat="1" ht="12.75" customHeight="1" x14ac:dyDescent="0.25">
      <c r="A110" s="710"/>
      <c r="B110" s="8"/>
      <c r="C110" s="8"/>
      <c r="D110" s="8" t="s">
        <v>471</v>
      </c>
      <c r="E110" s="8"/>
      <c r="F110" s="8"/>
      <c r="G110" s="8"/>
      <c r="H110" s="8"/>
      <c r="I110" s="8"/>
      <c r="J110" s="1112" t="s">
        <v>154</v>
      </c>
      <c r="K110" s="1112"/>
      <c r="L110" s="1112"/>
      <c r="M110" s="1112"/>
      <c r="N110" s="1995">
        <v>0</v>
      </c>
      <c r="O110" s="1996"/>
      <c r="P110" s="1993">
        <v>0</v>
      </c>
      <c r="Q110" s="1994"/>
      <c r="R110" s="8"/>
      <c r="S110" s="8"/>
      <c r="T110" s="8"/>
      <c r="U110" s="8"/>
      <c r="V110" s="713"/>
      <c r="W110" s="713"/>
      <c r="X110" s="713"/>
      <c r="Y110" s="713"/>
      <c r="Z110" s="713"/>
      <c r="AA110" s="713"/>
      <c r="AB110" s="713"/>
      <c r="AC110" s="713"/>
      <c r="AD110" s="713"/>
      <c r="AE110" s="713"/>
      <c r="AF110" s="713"/>
      <c r="AG110" s="713"/>
      <c r="AH110" s="713"/>
      <c r="AI110" s="713"/>
      <c r="AJ110" s="713"/>
      <c r="AK110" s="713"/>
      <c r="AL110" s="713"/>
      <c r="AM110" s="713"/>
      <c r="AN110" s="713"/>
      <c r="AO110" s="713"/>
      <c r="AP110" s="714"/>
      <c r="AQ110" s="715"/>
      <c r="AR110" s="707"/>
      <c r="AS110" s="707"/>
    </row>
    <row r="111" spans="1:45" s="711" customFormat="1" ht="12.75" customHeight="1" x14ac:dyDescent="0.25">
      <c r="A111" s="710"/>
      <c r="B111" s="8"/>
      <c r="C111" s="8"/>
      <c r="D111" s="1111" t="s">
        <v>533</v>
      </c>
      <c r="E111" s="8"/>
      <c r="F111" s="8"/>
      <c r="G111" s="8"/>
      <c r="H111" s="8"/>
      <c r="I111" s="8"/>
      <c r="J111" s="1112" t="s">
        <v>154</v>
      </c>
      <c r="K111" s="1112"/>
      <c r="L111" s="1112"/>
      <c r="M111" s="1112"/>
      <c r="N111" s="1995">
        <v>0</v>
      </c>
      <c r="O111" s="1996"/>
      <c r="P111" s="1993">
        <v>0</v>
      </c>
      <c r="Q111" s="1994"/>
      <c r="R111" s="8"/>
      <c r="S111" s="8"/>
      <c r="T111" s="8"/>
      <c r="U111" s="8"/>
      <c r="V111" s="713"/>
      <c r="W111" s="713"/>
      <c r="X111" s="713"/>
      <c r="Y111" s="713"/>
      <c r="Z111" s="713"/>
      <c r="AA111" s="713"/>
      <c r="AB111" s="713"/>
      <c r="AC111" s="713"/>
      <c r="AD111" s="713"/>
      <c r="AE111" s="713"/>
      <c r="AF111" s="713"/>
      <c r="AG111" s="713"/>
      <c r="AH111" s="713"/>
      <c r="AI111" s="713"/>
      <c r="AJ111" s="713"/>
      <c r="AK111" s="713"/>
      <c r="AL111" s="713"/>
      <c r="AM111" s="713"/>
      <c r="AN111" s="713"/>
      <c r="AO111" s="713"/>
      <c r="AP111" s="714"/>
      <c r="AQ111" s="715"/>
      <c r="AR111" s="707"/>
      <c r="AS111" s="707"/>
    </row>
    <row r="112" spans="1:45" s="711" customFormat="1" ht="12.75" customHeight="1" x14ac:dyDescent="0.25">
      <c r="A112" s="710"/>
      <c r="B112" s="8"/>
      <c r="C112" s="8"/>
      <c r="D112" s="8" t="s">
        <v>306</v>
      </c>
      <c r="E112" s="8"/>
      <c r="F112" s="8"/>
      <c r="G112" s="8"/>
      <c r="H112" s="8"/>
      <c r="I112" s="8"/>
      <c r="J112" s="1112" t="s">
        <v>154</v>
      </c>
      <c r="K112" s="1112"/>
      <c r="L112" s="1112"/>
      <c r="M112" s="1112"/>
      <c r="N112" s="1995">
        <v>0</v>
      </c>
      <c r="O112" s="1996"/>
      <c r="P112" s="1993">
        <v>0</v>
      </c>
      <c r="Q112" s="1994"/>
      <c r="R112" s="8"/>
      <c r="S112" s="8"/>
      <c r="T112" s="8"/>
      <c r="U112" s="8"/>
      <c r="V112" s="713"/>
      <c r="W112" s="713"/>
      <c r="X112" s="713"/>
      <c r="Y112" s="713"/>
      <c r="Z112" s="713"/>
      <c r="AA112" s="713"/>
      <c r="AB112" s="713"/>
      <c r="AC112" s="713"/>
      <c r="AD112" s="713"/>
      <c r="AE112" s="713"/>
      <c r="AF112" s="713"/>
      <c r="AG112" s="713"/>
      <c r="AH112" s="713"/>
      <c r="AI112" s="713"/>
      <c r="AJ112" s="713"/>
      <c r="AK112" s="713"/>
      <c r="AL112" s="713"/>
      <c r="AM112" s="713"/>
      <c r="AN112" s="713"/>
      <c r="AO112" s="713"/>
      <c r="AP112" s="714"/>
      <c r="AQ112" s="715"/>
      <c r="AR112" s="707"/>
      <c r="AS112" s="707"/>
    </row>
    <row r="113" spans="1:45" s="711" customFormat="1" ht="12.75" customHeight="1" x14ac:dyDescent="0.25">
      <c r="A113" s="710"/>
      <c r="B113" s="8"/>
      <c r="C113" s="8"/>
      <c r="D113" s="8" t="s">
        <v>305</v>
      </c>
      <c r="E113" s="8"/>
      <c r="F113" s="8"/>
      <c r="G113" s="8"/>
      <c r="H113" s="8"/>
      <c r="I113" s="8"/>
      <c r="J113" s="1112" t="s">
        <v>154</v>
      </c>
      <c r="K113" s="1112"/>
      <c r="L113" s="1112"/>
      <c r="M113" s="1112"/>
      <c r="N113" s="1995">
        <v>0</v>
      </c>
      <c r="O113" s="1996"/>
      <c r="P113" s="1993">
        <v>0</v>
      </c>
      <c r="Q113" s="1994"/>
      <c r="R113" s="8"/>
      <c r="S113" s="8"/>
      <c r="T113" s="8"/>
      <c r="U113" s="8"/>
      <c r="V113" s="713"/>
      <c r="W113" s="713"/>
      <c r="X113" s="713"/>
      <c r="Y113" s="713"/>
      <c r="Z113" s="713"/>
      <c r="AA113" s="713"/>
      <c r="AB113" s="713"/>
      <c r="AC113" s="713"/>
      <c r="AD113" s="713"/>
      <c r="AE113" s="713"/>
      <c r="AF113" s="713"/>
      <c r="AG113" s="713"/>
      <c r="AH113" s="713"/>
      <c r="AI113" s="713"/>
      <c r="AJ113" s="713"/>
      <c r="AK113" s="713"/>
      <c r="AL113" s="713"/>
      <c r="AM113" s="713"/>
      <c r="AN113" s="713"/>
      <c r="AO113" s="713"/>
      <c r="AP113" s="714"/>
      <c r="AQ113" s="715"/>
      <c r="AR113" s="707"/>
      <c r="AS113" s="707"/>
    </row>
    <row r="114" spans="1:45" s="711" customFormat="1" ht="12.75" customHeight="1" x14ac:dyDescent="0.25">
      <c r="A114" s="710"/>
      <c r="B114" s="8"/>
      <c r="C114" s="8"/>
      <c r="D114" s="8"/>
      <c r="E114" s="8"/>
      <c r="F114" s="8"/>
      <c r="G114" s="8"/>
      <c r="H114" s="8"/>
      <c r="I114" s="8"/>
      <c r="J114" s="1112"/>
      <c r="K114" s="1112"/>
      <c r="L114" s="1112"/>
      <c r="M114" s="1112"/>
      <c r="N114" s="1413"/>
      <c r="O114" s="1414"/>
      <c r="P114" s="1415"/>
      <c r="Q114" s="1416"/>
      <c r="R114" s="8"/>
      <c r="S114" s="8"/>
      <c r="T114" s="8"/>
      <c r="U114" s="8"/>
      <c r="V114" s="713"/>
      <c r="W114" s="713"/>
      <c r="X114" s="713"/>
      <c r="Y114" s="713"/>
      <c r="Z114" s="713"/>
      <c r="AA114" s="713"/>
      <c r="AB114" s="713"/>
      <c r="AC114" s="713"/>
      <c r="AD114" s="713"/>
      <c r="AE114" s="713"/>
      <c r="AF114" s="713"/>
      <c r="AG114" s="713"/>
      <c r="AH114" s="713"/>
      <c r="AI114" s="713"/>
      <c r="AJ114" s="713"/>
      <c r="AK114" s="713"/>
      <c r="AL114" s="713"/>
      <c r="AM114" s="713"/>
      <c r="AN114" s="713"/>
      <c r="AO114" s="713"/>
      <c r="AP114" s="714"/>
      <c r="AQ114" s="715"/>
      <c r="AR114" s="707"/>
      <c r="AS114" s="707"/>
    </row>
    <row r="115" spans="1:45" s="711" customFormat="1" ht="12.75" customHeight="1" x14ac:dyDescent="0.25">
      <c r="A115" s="710"/>
      <c r="B115" s="8"/>
      <c r="C115" s="11" t="s">
        <v>147</v>
      </c>
      <c r="D115" s="8"/>
      <c r="E115" s="8"/>
      <c r="F115" s="8"/>
      <c r="G115" s="8"/>
      <c r="H115" s="8"/>
      <c r="I115" s="8"/>
      <c r="J115" s="1112"/>
      <c r="K115" s="1112"/>
      <c r="L115" s="1112"/>
      <c r="M115" s="1112"/>
      <c r="N115" s="1413"/>
      <c r="O115" s="1414"/>
      <c r="P115" s="1415"/>
      <c r="Q115" s="1416"/>
      <c r="R115" s="8"/>
      <c r="S115" s="8"/>
      <c r="T115" s="8"/>
      <c r="U115" s="8"/>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714"/>
      <c r="AQ115" s="715"/>
      <c r="AR115" s="707"/>
      <c r="AS115" s="707"/>
    </row>
    <row r="116" spans="1:45" s="711" customFormat="1" ht="12.75" customHeight="1" x14ac:dyDescent="0.25">
      <c r="A116" s="710"/>
      <c r="B116" s="8"/>
      <c r="C116" s="8"/>
      <c r="D116" s="11" t="s">
        <v>245</v>
      </c>
      <c r="E116" s="11"/>
      <c r="F116" s="11"/>
      <c r="G116" s="11"/>
      <c r="H116" s="11"/>
      <c r="I116" s="8"/>
      <c r="J116" s="1115"/>
      <c r="K116" s="1115"/>
      <c r="L116" s="1115"/>
      <c r="M116" s="1115"/>
      <c r="N116" s="1995"/>
      <c r="O116" s="2019"/>
      <c r="P116" s="1987">
        <v>0</v>
      </c>
      <c r="Q116" s="1988"/>
      <c r="R116" s="8"/>
      <c r="S116" s="8"/>
      <c r="T116" s="8"/>
      <c r="U116" s="8"/>
      <c r="V116" s="713"/>
      <c r="W116" s="713"/>
      <c r="X116" s="713"/>
      <c r="Y116" s="713"/>
      <c r="Z116" s="713"/>
      <c r="AA116" s="713"/>
      <c r="AB116" s="713"/>
      <c r="AC116" s="713"/>
      <c r="AD116" s="713"/>
      <c r="AE116" s="713"/>
      <c r="AF116" s="713"/>
      <c r="AG116" s="713"/>
      <c r="AH116" s="713"/>
      <c r="AI116" s="713"/>
      <c r="AJ116" s="713"/>
      <c r="AK116" s="713"/>
      <c r="AL116" s="713"/>
      <c r="AM116" s="713"/>
      <c r="AN116" s="713"/>
      <c r="AO116" s="713"/>
      <c r="AP116" s="714"/>
      <c r="AQ116" s="715"/>
      <c r="AR116" s="707"/>
      <c r="AS116" s="707"/>
    </row>
    <row r="117" spans="1:45" s="711" customFormat="1" ht="12.75" customHeight="1" x14ac:dyDescent="0.25">
      <c r="A117" s="710"/>
      <c r="B117" s="8"/>
      <c r="C117" s="8"/>
      <c r="D117" s="8" t="s">
        <v>306</v>
      </c>
      <c r="E117" s="8"/>
      <c r="F117" s="8"/>
      <c r="G117" s="8"/>
      <c r="H117" s="8"/>
      <c r="I117" s="8"/>
      <c r="J117" s="1112" t="s">
        <v>154</v>
      </c>
      <c r="K117" s="1112"/>
      <c r="L117" s="1112"/>
      <c r="M117" s="1112"/>
      <c r="N117" s="1995">
        <v>0</v>
      </c>
      <c r="O117" s="1996"/>
      <c r="P117" s="1993">
        <v>0</v>
      </c>
      <c r="Q117" s="1994"/>
      <c r="R117" s="8"/>
      <c r="S117" s="8"/>
      <c r="T117" s="8"/>
      <c r="U117" s="8"/>
      <c r="V117" s="713"/>
      <c r="W117" s="713"/>
      <c r="X117" s="713"/>
      <c r="Y117" s="713"/>
      <c r="Z117" s="713"/>
      <c r="AA117" s="713"/>
      <c r="AB117" s="713"/>
      <c r="AC117" s="713"/>
      <c r="AD117" s="713"/>
      <c r="AE117" s="713"/>
      <c r="AF117" s="713"/>
      <c r="AG117" s="713"/>
      <c r="AH117" s="713"/>
      <c r="AI117" s="713"/>
      <c r="AJ117" s="713"/>
      <c r="AK117" s="713"/>
      <c r="AL117" s="713"/>
      <c r="AM117" s="713"/>
      <c r="AN117" s="713"/>
      <c r="AO117" s="713"/>
      <c r="AP117" s="714"/>
      <c r="AQ117" s="715"/>
      <c r="AR117" s="707"/>
      <c r="AS117" s="707"/>
    </row>
    <row r="118" spans="1:45" s="711" customFormat="1" ht="12.75" customHeight="1" x14ac:dyDescent="0.25">
      <c r="A118" s="710"/>
      <c r="B118" s="8"/>
      <c r="C118" s="8"/>
      <c r="D118" s="8" t="s">
        <v>305</v>
      </c>
      <c r="E118" s="8"/>
      <c r="F118" s="8"/>
      <c r="G118" s="8"/>
      <c r="H118" s="8"/>
      <c r="I118" s="8"/>
      <c r="J118" s="1112" t="s">
        <v>154</v>
      </c>
      <c r="K118" s="1112"/>
      <c r="L118" s="1112"/>
      <c r="M118" s="1112"/>
      <c r="N118" s="1995">
        <v>0</v>
      </c>
      <c r="O118" s="1996"/>
      <c r="P118" s="1993">
        <v>0</v>
      </c>
      <c r="Q118" s="1994"/>
      <c r="R118" s="8"/>
      <c r="S118" s="8"/>
      <c r="T118" s="8"/>
      <c r="U118" s="8"/>
      <c r="V118" s="713"/>
      <c r="W118" s="713"/>
      <c r="X118" s="713"/>
      <c r="Y118" s="713"/>
      <c r="Z118" s="713"/>
      <c r="AA118" s="713"/>
      <c r="AB118" s="713"/>
      <c r="AC118" s="713"/>
      <c r="AD118" s="713"/>
      <c r="AE118" s="713"/>
      <c r="AF118" s="713"/>
      <c r="AG118" s="713"/>
      <c r="AH118" s="713"/>
      <c r="AI118" s="713"/>
      <c r="AJ118" s="713"/>
      <c r="AK118" s="713"/>
      <c r="AL118" s="713"/>
      <c r="AM118" s="713"/>
      <c r="AN118" s="713"/>
      <c r="AO118" s="713"/>
      <c r="AP118" s="714"/>
      <c r="AQ118" s="715"/>
      <c r="AR118" s="707"/>
      <c r="AS118" s="707"/>
    </row>
    <row r="119" spans="1:45" s="711" customFormat="1" ht="12.75" customHeight="1" x14ac:dyDescent="0.25">
      <c r="A119" s="710"/>
      <c r="B119" s="8"/>
      <c r="C119" s="8"/>
      <c r="D119" s="1634" t="s">
        <v>534</v>
      </c>
      <c r="E119" s="1634"/>
      <c r="F119" s="1634"/>
      <c r="G119" s="1634"/>
      <c r="H119" s="1634"/>
      <c r="I119" s="1634"/>
      <c r="J119" s="1112" t="s">
        <v>154</v>
      </c>
      <c r="K119" s="1112"/>
      <c r="L119" s="1112"/>
      <c r="M119" s="1112"/>
      <c r="N119" s="1995">
        <v>0</v>
      </c>
      <c r="O119" s="1996"/>
      <c r="P119" s="1993">
        <v>0</v>
      </c>
      <c r="Q119" s="1994"/>
      <c r="R119" s="29"/>
      <c r="S119" s="8"/>
      <c r="T119" s="8"/>
      <c r="U119" s="8"/>
      <c r="V119" s="713"/>
      <c r="W119" s="713"/>
      <c r="X119" s="713"/>
      <c r="Y119" s="713"/>
      <c r="Z119" s="713"/>
      <c r="AA119" s="713"/>
      <c r="AB119" s="713"/>
      <c r="AC119" s="713"/>
      <c r="AD119" s="713"/>
      <c r="AE119" s="713"/>
      <c r="AF119" s="713"/>
      <c r="AG119" s="713"/>
      <c r="AH119" s="713"/>
      <c r="AI119" s="713"/>
      <c r="AJ119" s="713"/>
      <c r="AK119" s="713"/>
      <c r="AL119" s="713"/>
      <c r="AM119" s="713"/>
      <c r="AN119" s="713"/>
      <c r="AO119" s="713"/>
      <c r="AP119" s="714"/>
      <c r="AQ119" s="715"/>
      <c r="AR119" s="707"/>
      <c r="AS119" s="707"/>
    </row>
    <row r="120" spans="1:45" s="711" customFormat="1" ht="12.75" customHeight="1" x14ac:dyDescent="0.25">
      <c r="A120" s="710"/>
      <c r="B120" s="8"/>
      <c r="C120" s="8"/>
      <c r="D120" s="1634" t="s">
        <v>535</v>
      </c>
      <c r="E120" s="1634"/>
      <c r="F120" s="1634"/>
      <c r="G120" s="1634"/>
      <c r="H120" s="1634"/>
      <c r="I120" s="1634"/>
      <c r="J120" s="1112" t="s">
        <v>154</v>
      </c>
      <c r="K120" s="1112"/>
      <c r="L120" s="1112"/>
      <c r="M120" s="1112"/>
      <c r="N120" s="1995"/>
      <c r="O120" s="1996"/>
      <c r="P120" s="1993">
        <v>0</v>
      </c>
      <c r="Q120" s="1994"/>
      <c r="R120" s="8"/>
      <c r="S120" s="8"/>
      <c r="T120" s="8"/>
      <c r="U120" s="8"/>
      <c r="V120" s="713"/>
      <c r="W120" s="713"/>
      <c r="X120" s="713"/>
      <c r="Y120" s="713"/>
      <c r="Z120" s="713"/>
      <c r="AA120" s="713"/>
      <c r="AB120" s="713"/>
      <c r="AC120" s="713"/>
      <c r="AD120" s="713"/>
      <c r="AE120" s="713"/>
      <c r="AF120" s="713"/>
      <c r="AG120" s="713"/>
      <c r="AH120" s="713"/>
      <c r="AI120" s="713"/>
      <c r="AJ120" s="713"/>
      <c r="AK120" s="713"/>
      <c r="AL120" s="713"/>
      <c r="AM120" s="713"/>
      <c r="AN120" s="713"/>
      <c r="AO120" s="713"/>
      <c r="AP120" s="714"/>
      <c r="AQ120" s="715"/>
      <c r="AR120" s="707"/>
      <c r="AS120" s="707"/>
    </row>
    <row r="121" spans="1:45" s="711" customFormat="1" ht="12.75" customHeight="1" x14ac:dyDescent="0.25">
      <c r="A121" s="710"/>
      <c r="B121" s="8"/>
      <c r="C121" s="8"/>
      <c r="D121" s="8"/>
      <c r="E121" s="8"/>
      <c r="F121" s="8"/>
      <c r="G121" s="8"/>
      <c r="H121" s="8"/>
      <c r="I121" s="8"/>
      <c r="J121" s="1112"/>
      <c r="K121" s="1112"/>
      <c r="L121" s="1112"/>
      <c r="M121" s="1112"/>
      <c r="N121" s="1413"/>
      <c r="O121" s="1414"/>
      <c r="P121" s="1415"/>
      <c r="Q121" s="1416"/>
      <c r="R121" s="8"/>
      <c r="S121" s="8"/>
      <c r="T121" s="8"/>
      <c r="U121" s="8"/>
      <c r="V121" s="713"/>
      <c r="W121" s="713"/>
      <c r="X121" s="713"/>
      <c r="Y121" s="713"/>
      <c r="Z121" s="713"/>
      <c r="AA121" s="713"/>
      <c r="AB121" s="713"/>
      <c r="AC121" s="713"/>
      <c r="AD121" s="713"/>
      <c r="AE121" s="713"/>
      <c r="AF121" s="713"/>
      <c r="AG121" s="713"/>
      <c r="AH121" s="713"/>
      <c r="AI121" s="713"/>
      <c r="AJ121" s="713"/>
      <c r="AK121" s="713"/>
      <c r="AL121" s="713"/>
      <c r="AM121" s="713"/>
      <c r="AN121" s="713"/>
      <c r="AO121" s="713"/>
      <c r="AP121" s="714"/>
      <c r="AQ121" s="715"/>
      <c r="AR121" s="707"/>
      <c r="AS121" s="707"/>
    </row>
    <row r="122" spans="1:45" s="711" customFormat="1" ht="12.75" customHeight="1" x14ac:dyDescent="0.25">
      <c r="A122" s="710"/>
      <c r="B122" s="8"/>
      <c r="C122" s="11" t="s">
        <v>186</v>
      </c>
      <c r="D122" s="11"/>
      <c r="E122" s="11"/>
      <c r="F122" s="11"/>
      <c r="G122" s="11"/>
      <c r="H122" s="11"/>
      <c r="I122" s="8"/>
      <c r="J122" s="747"/>
      <c r="K122" s="747"/>
      <c r="L122" s="747"/>
      <c r="M122" s="747"/>
      <c r="N122" s="1989"/>
      <c r="O122" s="1990"/>
      <c r="P122" s="1991"/>
      <c r="Q122" s="1992"/>
      <c r="R122" s="8"/>
      <c r="S122" s="8"/>
      <c r="T122" s="8"/>
      <c r="U122" s="8"/>
      <c r="V122" s="713"/>
      <c r="W122" s="713"/>
      <c r="X122" s="713"/>
      <c r="Y122" s="713"/>
      <c r="Z122" s="713"/>
      <c r="AA122" s="713"/>
      <c r="AB122" s="713"/>
      <c r="AC122" s="713"/>
      <c r="AD122" s="713"/>
      <c r="AE122" s="713"/>
      <c r="AF122" s="713"/>
      <c r="AG122" s="713"/>
      <c r="AH122" s="713"/>
      <c r="AI122" s="713"/>
      <c r="AJ122" s="713"/>
      <c r="AK122" s="713"/>
      <c r="AL122" s="713"/>
      <c r="AM122" s="713"/>
      <c r="AN122" s="713"/>
      <c r="AO122" s="713"/>
      <c r="AP122" s="714"/>
      <c r="AQ122" s="715"/>
      <c r="AR122" s="707"/>
      <c r="AS122" s="707"/>
    </row>
    <row r="123" spans="1:45" s="711" customFormat="1" ht="12.75" customHeight="1" x14ac:dyDescent="0.25">
      <c r="A123" s="710"/>
      <c r="B123" s="8"/>
      <c r="C123" s="8"/>
      <c r="D123" s="8" t="s">
        <v>472</v>
      </c>
      <c r="E123" s="8"/>
      <c r="F123" s="8"/>
      <c r="G123" s="8"/>
      <c r="H123" s="8"/>
      <c r="I123" s="8"/>
      <c r="J123" s="1112" t="s">
        <v>614</v>
      </c>
      <c r="K123" s="1112"/>
      <c r="L123" s="1112"/>
      <c r="M123" s="1112"/>
      <c r="N123" s="2001">
        <v>0</v>
      </c>
      <c r="O123" s="2002"/>
      <c r="P123" s="2003">
        <v>0</v>
      </c>
      <c r="Q123" s="2004"/>
      <c r="R123" s="8"/>
      <c r="S123" s="8"/>
      <c r="T123" s="8"/>
      <c r="U123" s="8"/>
      <c r="V123" s="713"/>
      <c r="W123" s="713"/>
      <c r="X123" s="713"/>
      <c r="Y123" s="713"/>
      <c r="Z123" s="713"/>
      <c r="AA123" s="713"/>
      <c r="AB123" s="713"/>
      <c r="AC123" s="713"/>
      <c r="AD123" s="713"/>
      <c r="AE123" s="713"/>
      <c r="AF123" s="713"/>
      <c r="AG123" s="713"/>
      <c r="AH123" s="713"/>
      <c r="AI123" s="713"/>
      <c r="AJ123" s="713"/>
      <c r="AK123" s="713"/>
      <c r="AL123" s="713"/>
      <c r="AM123" s="713"/>
      <c r="AN123" s="713"/>
      <c r="AO123" s="713"/>
      <c r="AP123" s="714"/>
      <c r="AQ123" s="715"/>
      <c r="AR123" s="707"/>
      <c r="AS123" s="707"/>
    </row>
    <row r="124" spans="1:45" s="711" customFormat="1" ht="12.75" customHeight="1" x14ac:dyDescent="0.25">
      <c r="A124" s="710"/>
      <c r="B124" s="8"/>
      <c r="C124" s="8"/>
      <c r="D124" s="8" t="s">
        <v>473</v>
      </c>
      <c r="E124" s="8"/>
      <c r="F124" s="8"/>
      <c r="G124" s="8"/>
      <c r="H124" s="8"/>
      <c r="I124" s="8"/>
      <c r="J124" s="1112" t="s">
        <v>16</v>
      </c>
      <c r="K124" s="1112"/>
      <c r="L124" s="1112"/>
      <c r="M124" s="1112"/>
      <c r="N124" s="1417"/>
      <c r="O124" s="1414"/>
      <c r="P124" s="2017">
        <v>0</v>
      </c>
      <c r="Q124" s="2018"/>
      <c r="R124" s="8"/>
      <c r="S124" s="8"/>
      <c r="T124" s="8"/>
      <c r="U124" s="8"/>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714"/>
      <c r="AQ124" s="715"/>
      <c r="AR124" s="707"/>
      <c r="AS124" s="707"/>
    </row>
    <row r="125" spans="1:45" s="711" customFormat="1" ht="12.75" customHeight="1" x14ac:dyDescent="0.25">
      <c r="A125" s="710"/>
      <c r="B125" s="8"/>
      <c r="C125" s="8"/>
      <c r="D125" s="8" t="s">
        <v>276</v>
      </c>
      <c r="E125" s="8"/>
      <c r="F125" s="8"/>
      <c r="G125" s="8"/>
      <c r="H125" s="8"/>
      <c r="I125" s="8"/>
      <c r="J125" s="1112" t="s">
        <v>614</v>
      </c>
      <c r="K125" s="1112"/>
      <c r="L125" s="1112"/>
      <c r="M125" s="1112"/>
      <c r="N125" s="2001">
        <v>0</v>
      </c>
      <c r="O125" s="2002"/>
      <c r="P125" s="2003">
        <v>0</v>
      </c>
      <c r="Q125" s="2004"/>
      <c r="R125" s="8"/>
      <c r="S125" s="8"/>
      <c r="T125" s="8"/>
      <c r="U125" s="8"/>
      <c r="V125" s="713"/>
      <c r="W125" s="713"/>
      <c r="X125" s="713"/>
      <c r="Y125" s="713"/>
      <c r="Z125" s="713"/>
      <c r="AA125" s="713"/>
      <c r="AB125" s="713"/>
      <c r="AC125" s="713"/>
      <c r="AD125" s="713"/>
      <c r="AE125" s="713"/>
      <c r="AF125" s="713"/>
      <c r="AG125" s="713"/>
      <c r="AH125" s="713"/>
      <c r="AI125" s="713"/>
      <c r="AJ125" s="713"/>
      <c r="AK125" s="713"/>
      <c r="AL125" s="713"/>
      <c r="AM125" s="713"/>
      <c r="AN125" s="713"/>
      <c r="AO125" s="713"/>
      <c r="AP125" s="714"/>
      <c r="AQ125" s="715"/>
      <c r="AR125" s="707"/>
      <c r="AS125" s="707"/>
    </row>
    <row r="126" spans="1:45" s="711" customFormat="1" ht="12.75" customHeight="1" x14ac:dyDescent="0.25">
      <c r="A126" s="710"/>
      <c r="B126" s="8"/>
      <c r="C126" s="8"/>
      <c r="D126" s="8" t="s">
        <v>307</v>
      </c>
      <c r="E126" s="8"/>
      <c r="F126" s="8"/>
      <c r="G126" s="8"/>
      <c r="H126" s="8"/>
      <c r="I126" s="8"/>
      <c r="J126" s="1112" t="s">
        <v>614</v>
      </c>
      <c r="K126" s="1112"/>
      <c r="L126" s="1112"/>
      <c r="M126" s="1112"/>
      <c r="N126" s="2001">
        <v>0</v>
      </c>
      <c r="O126" s="2002"/>
      <c r="P126" s="2003">
        <v>0</v>
      </c>
      <c r="Q126" s="2004"/>
      <c r="R126" s="8"/>
      <c r="S126" s="8"/>
      <c r="T126" s="8"/>
      <c r="U126" s="8"/>
      <c r="V126" s="713"/>
      <c r="W126" s="713"/>
      <c r="X126" s="713"/>
      <c r="Y126" s="713"/>
      <c r="Z126" s="713"/>
      <c r="AA126" s="713"/>
      <c r="AB126" s="713"/>
      <c r="AC126" s="713"/>
      <c r="AD126" s="713"/>
      <c r="AE126" s="713"/>
      <c r="AF126" s="713"/>
      <c r="AG126" s="713"/>
      <c r="AH126" s="713"/>
      <c r="AI126" s="713"/>
      <c r="AJ126" s="713"/>
      <c r="AK126" s="713"/>
      <c r="AL126" s="713"/>
      <c r="AM126" s="713"/>
      <c r="AN126" s="713"/>
      <c r="AO126" s="713"/>
      <c r="AP126" s="714"/>
      <c r="AQ126" s="715"/>
      <c r="AR126" s="707"/>
      <c r="AS126" s="707"/>
    </row>
    <row r="127" spans="1:45" s="711" customFormat="1" ht="12.75" customHeight="1" x14ac:dyDescent="0.25">
      <c r="A127" s="710"/>
      <c r="B127" s="8"/>
      <c r="C127" s="8"/>
      <c r="D127" s="8"/>
      <c r="E127" s="8"/>
      <c r="F127" s="8"/>
      <c r="G127" s="8"/>
      <c r="H127" s="8"/>
      <c r="I127" s="8"/>
      <c r="J127" s="1112"/>
      <c r="K127" s="1112"/>
      <c r="L127" s="1112"/>
      <c r="M127" s="1112"/>
      <c r="N127" s="1417"/>
      <c r="O127" s="1418"/>
      <c r="P127" s="1419"/>
      <c r="Q127" s="1420"/>
      <c r="R127" s="8"/>
      <c r="S127" s="8"/>
      <c r="T127" s="8"/>
      <c r="U127" s="8"/>
      <c r="V127" s="713"/>
      <c r="W127" s="713"/>
      <c r="X127" s="713"/>
      <c r="Y127" s="713"/>
      <c r="Z127" s="713"/>
      <c r="AA127" s="713"/>
      <c r="AB127" s="713"/>
      <c r="AC127" s="713"/>
      <c r="AD127" s="713"/>
      <c r="AE127" s="713"/>
      <c r="AF127" s="713"/>
      <c r="AG127" s="713"/>
      <c r="AH127" s="713"/>
      <c r="AI127" s="713"/>
      <c r="AJ127" s="713"/>
      <c r="AK127" s="713"/>
      <c r="AL127" s="713"/>
      <c r="AM127" s="713"/>
      <c r="AN127" s="713"/>
      <c r="AO127" s="713"/>
      <c r="AP127" s="714"/>
      <c r="AQ127" s="715"/>
      <c r="AR127" s="707"/>
      <c r="AS127" s="707"/>
    </row>
    <row r="128" spans="1:45" s="711" customFormat="1" ht="12.75" customHeight="1" x14ac:dyDescent="0.25">
      <c r="A128" s="710"/>
      <c r="B128" s="8"/>
      <c r="C128" s="11" t="s">
        <v>148</v>
      </c>
      <c r="D128" s="11"/>
      <c r="E128" s="11"/>
      <c r="F128" s="11"/>
      <c r="G128" s="11"/>
      <c r="H128" s="11"/>
      <c r="I128" s="8"/>
      <c r="J128" s="747"/>
      <c r="K128" s="747"/>
      <c r="L128" s="747"/>
      <c r="M128" s="747"/>
      <c r="N128" s="1989"/>
      <c r="O128" s="1990"/>
      <c r="P128" s="1991"/>
      <c r="Q128" s="1992"/>
      <c r="R128" s="8"/>
      <c r="S128" s="8"/>
      <c r="T128" s="8"/>
      <c r="U128" s="8"/>
      <c r="V128" s="713"/>
      <c r="W128" s="713"/>
      <c r="X128" s="713"/>
      <c r="Y128" s="713"/>
      <c r="Z128" s="713"/>
      <c r="AA128" s="713"/>
      <c r="AB128" s="713"/>
      <c r="AC128" s="713"/>
      <c r="AD128" s="713"/>
      <c r="AE128" s="713"/>
      <c r="AF128" s="713"/>
      <c r="AG128" s="713"/>
      <c r="AH128" s="713"/>
      <c r="AI128" s="713"/>
      <c r="AJ128" s="713"/>
      <c r="AK128" s="713"/>
      <c r="AL128" s="713"/>
      <c r="AM128" s="713"/>
      <c r="AN128" s="713"/>
      <c r="AO128" s="713"/>
      <c r="AP128" s="714"/>
      <c r="AQ128" s="715"/>
      <c r="AR128" s="707"/>
      <c r="AS128" s="707"/>
    </row>
    <row r="129" spans="1:45" s="711" customFormat="1" ht="12.75" customHeight="1" x14ac:dyDescent="0.25">
      <c r="A129" s="710"/>
      <c r="B129" s="8"/>
      <c r="C129" s="8"/>
      <c r="D129" s="8"/>
      <c r="E129" s="1411" t="s">
        <v>629</v>
      </c>
      <c r="F129" s="8"/>
      <c r="G129" s="8"/>
      <c r="H129" s="8"/>
      <c r="I129" s="8"/>
      <c r="J129" s="1406" t="s">
        <v>617</v>
      </c>
      <c r="K129" s="1112"/>
      <c r="L129" s="1112"/>
      <c r="M129" s="1112"/>
      <c r="N129" s="1967">
        <v>0</v>
      </c>
      <c r="O129" s="1968"/>
      <c r="P129" s="1969">
        <v>0</v>
      </c>
      <c r="Q129" s="1970"/>
      <c r="R129" s="8"/>
      <c r="S129" s="8"/>
      <c r="T129" s="8"/>
      <c r="U129" s="8"/>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4"/>
      <c r="AQ129" s="715"/>
      <c r="AR129" s="707"/>
      <c r="AS129" s="707"/>
    </row>
    <row r="130" spans="1:45" s="711" customFormat="1" ht="12.75" customHeight="1" x14ac:dyDescent="0.25">
      <c r="A130" s="710"/>
      <c r="B130" s="8"/>
      <c r="C130" s="8"/>
      <c r="D130" s="8"/>
      <c r="E130" s="1411" t="s">
        <v>630</v>
      </c>
      <c r="F130" s="8"/>
      <c r="G130" s="8"/>
      <c r="H130" s="8"/>
      <c r="I130" s="8"/>
      <c r="J130" s="1406" t="s">
        <v>617</v>
      </c>
      <c r="K130" s="1406"/>
      <c r="L130" s="1406"/>
      <c r="M130" s="1406"/>
      <c r="N130" s="1967">
        <v>0</v>
      </c>
      <c r="O130" s="1968"/>
      <c r="P130" s="1969">
        <v>0</v>
      </c>
      <c r="Q130" s="1970"/>
      <c r="R130" s="8"/>
      <c r="S130" s="8"/>
      <c r="T130" s="8"/>
      <c r="U130" s="8"/>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4"/>
      <c r="AQ130" s="715"/>
      <c r="AR130" s="707"/>
      <c r="AS130" s="707"/>
    </row>
    <row r="131" spans="1:45" s="711" customFormat="1" ht="12.75" customHeight="1" x14ac:dyDescent="0.25">
      <c r="A131" s="710"/>
      <c r="B131" s="8"/>
      <c r="C131" s="8"/>
      <c r="D131" s="8"/>
      <c r="E131" s="1411" t="s">
        <v>631</v>
      </c>
      <c r="F131" s="8"/>
      <c r="G131" s="8"/>
      <c r="H131" s="8"/>
      <c r="I131" s="8"/>
      <c r="J131" s="1406" t="s">
        <v>617</v>
      </c>
      <c r="K131" s="1406"/>
      <c r="L131" s="1406"/>
      <c r="M131" s="1406"/>
      <c r="N131" s="1967">
        <v>0</v>
      </c>
      <c r="O131" s="1968"/>
      <c r="P131" s="1969">
        <v>0</v>
      </c>
      <c r="Q131" s="1970"/>
      <c r="R131" s="8"/>
      <c r="S131" s="8"/>
      <c r="T131" s="8"/>
      <c r="U131" s="8"/>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14"/>
      <c r="AQ131" s="715"/>
      <c r="AR131" s="707"/>
      <c r="AS131" s="707"/>
    </row>
    <row r="132" spans="1:45" s="711" customFormat="1" ht="12.75" customHeight="1" x14ac:dyDescent="0.25">
      <c r="A132" s="710"/>
      <c r="B132" s="11"/>
      <c r="C132" s="11"/>
      <c r="D132" s="11" t="s">
        <v>632</v>
      </c>
      <c r="E132" s="11"/>
      <c r="F132" s="11"/>
      <c r="G132" s="11"/>
      <c r="H132" s="11"/>
      <c r="I132" s="11"/>
      <c r="J132" s="1410" t="s">
        <v>617</v>
      </c>
      <c r="K132" s="1410"/>
      <c r="L132" s="1410"/>
      <c r="M132" s="1410"/>
      <c r="N132" s="1971">
        <v>0</v>
      </c>
      <c r="O132" s="1972"/>
      <c r="P132" s="1973">
        <v>0</v>
      </c>
      <c r="Q132" s="1974"/>
      <c r="R132" s="11"/>
      <c r="S132" s="11"/>
      <c r="T132" s="11"/>
      <c r="U132" s="11"/>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1412"/>
    </row>
    <row r="133" spans="1:45" s="711" customFormat="1" ht="12.75" customHeight="1" x14ac:dyDescent="0.25">
      <c r="A133" s="710"/>
      <c r="B133" s="8"/>
      <c r="C133" s="8"/>
      <c r="D133" s="8" t="s">
        <v>628</v>
      </c>
      <c r="E133" s="8"/>
      <c r="F133" s="8"/>
      <c r="G133" s="8"/>
      <c r="H133" s="8"/>
      <c r="I133" s="8"/>
      <c r="J133" s="1406" t="s">
        <v>16</v>
      </c>
      <c r="K133" s="1112"/>
      <c r="L133" s="1112"/>
      <c r="M133" s="1112"/>
      <c r="N133" s="1421"/>
      <c r="O133" s="1422"/>
      <c r="P133" s="2024">
        <v>0</v>
      </c>
      <c r="Q133" s="2025"/>
      <c r="R133" s="8"/>
      <c r="S133" s="8"/>
      <c r="T133" s="8"/>
      <c r="U133" s="8"/>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4"/>
      <c r="AQ133" s="715"/>
      <c r="AR133" s="707"/>
      <c r="AS133" s="707"/>
    </row>
    <row r="134" spans="1:45" s="711" customFormat="1" ht="12.75" customHeight="1" x14ac:dyDescent="0.25">
      <c r="A134" s="710"/>
      <c r="B134" s="8"/>
      <c r="C134" s="8"/>
      <c r="D134" s="1634" t="s">
        <v>536</v>
      </c>
      <c r="E134" s="1634"/>
      <c r="F134" s="1634"/>
      <c r="G134" s="1634"/>
      <c r="H134" s="1634"/>
      <c r="I134" s="1634"/>
      <c r="J134" s="1112" t="s">
        <v>366</v>
      </c>
      <c r="K134" s="1112"/>
      <c r="L134" s="1112"/>
      <c r="M134" s="1112"/>
      <c r="N134" s="2020">
        <v>0</v>
      </c>
      <c r="O134" s="2021"/>
      <c r="P134" s="2022">
        <v>0</v>
      </c>
      <c r="Q134" s="2023"/>
      <c r="R134" s="8"/>
      <c r="S134" s="8"/>
      <c r="T134" s="8"/>
      <c r="U134" s="8"/>
      <c r="V134" s="713"/>
      <c r="W134" s="713"/>
      <c r="X134" s="713"/>
      <c r="Y134" s="713"/>
      <c r="Z134" s="713"/>
      <c r="AA134" s="713"/>
      <c r="AB134" s="713"/>
      <c r="AC134" s="713"/>
      <c r="AD134" s="713"/>
      <c r="AE134" s="713"/>
      <c r="AF134" s="713"/>
      <c r="AG134" s="713"/>
      <c r="AH134" s="713"/>
      <c r="AI134" s="713"/>
      <c r="AJ134" s="713"/>
      <c r="AK134" s="713"/>
      <c r="AL134" s="713"/>
      <c r="AM134" s="713"/>
      <c r="AN134" s="713"/>
      <c r="AO134" s="713"/>
      <c r="AP134" s="714"/>
      <c r="AQ134" s="715"/>
      <c r="AR134" s="707"/>
      <c r="AS134" s="707"/>
    </row>
    <row r="135" spans="1:45" s="711" customFormat="1" ht="12.75" customHeight="1" x14ac:dyDescent="0.25">
      <c r="A135" s="710"/>
      <c r="B135" s="8"/>
      <c r="C135" s="8"/>
      <c r="D135" s="1129"/>
      <c r="E135" s="1129"/>
      <c r="F135" s="1129"/>
      <c r="G135" s="1129"/>
      <c r="H135" s="1129"/>
      <c r="I135" s="1129"/>
      <c r="J135" s="1127"/>
      <c r="K135" s="1127"/>
      <c r="L135" s="1127"/>
      <c r="M135" s="1127"/>
      <c r="N135" s="1160"/>
      <c r="O135" s="1160"/>
      <c r="P135" s="1161"/>
      <c r="Q135" s="1161"/>
      <c r="R135" s="8"/>
      <c r="S135" s="8"/>
      <c r="T135" s="8"/>
      <c r="U135" s="8"/>
      <c r="V135" s="713"/>
      <c r="W135" s="713"/>
      <c r="X135" s="713"/>
      <c r="Y135" s="713"/>
      <c r="Z135" s="713"/>
      <c r="AA135" s="713"/>
      <c r="AB135" s="713"/>
      <c r="AC135" s="713"/>
      <c r="AD135" s="713"/>
      <c r="AE135" s="713"/>
      <c r="AF135" s="713"/>
      <c r="AG135" s="713"/>
      <c r="AH135" s="713"/>
      <c r="AI135" s="713"/>
      <c r="AJ135" s="713"/>
      <c r="AK135" s="713"/>
      <c r="AL135" s="713"/>
      <c r="AM135" s="713"/>
      <c r="AN135" s="713"/>
      <c r="AO135" s="713"/>
      <c r="AP135" s="714"/>
      <c r="AQ135" s="715"/>
      <c r="AR135" s="707"/>
      <c r="AS135" s="707"/>
    </row>
    <row r="136" spans="1:45" s="711" customFormat="1" ht="12.75" customHeight="1" x14ac:dyDescent="0.25">
      <c r="A136" s="710"/>
      <c r="B136" s="8"/>
      <c r="C136" s="8"/>
      <c r="D136" s="1164"/>
      <c r="E136" s="1164"/>
      <c r="F136" s="1164"/>
      <c r="G136" s="1164"/>
      <c r="H136" s="1164"/>
      <c r="I136" s="1164"/>
      <c r="J136" s="1162"/>
      <c r="K136" s="1162"/>
      <c r="L136" s="1162"/>
      <c r="M136" s="1162"/>
      <c r="N136" s="1160"/>
      <c r="O136" s="1160"/>
      <c r="P136" s="1161"/>
      <c r="Q136" s="1161"/>
      <c r="R136" s="8"/>
      <c r="S136" s="8"/>
      <c r="T136" s="8"/>
      <c r="U136" s="8"/>
      <c r="V136" s="713"/>
      <c r="W136" s="713"/>
      <c r="X136" s="713"/>
      <c r="Y136" s="713"/>
      <c r="Z136" s="713"/>
      <c r="AA136" s="713"/>
      <c r="AB136" s="713"/>
      <c r="AC136" s="713"/>
      <c r="AD136" s="713"/>
      <c r="AE136" s="713"/>
      <c r="AF136" s="713"/>
      <c r="AG136" s="713"/>
      <c r="AH136" s="713"/>
      <c r="AI136" s="713"/>
      <c r="AJ136" s="713"/>
      <c r="AK136" s="713"/>
      <c r="AL136" s="713"/>
      <c r="AM136" s="713"/>
      <c r="AN136" s="713"/>
      <c r="AO136" s="713"/>
      <c r="AP136" s="714"/>
      <c r="AQ136" s="715"/>
      <c r="AR136" s="707"/>
      <c r="AS136" s="707"/>
    </row>
    <row r="137" spans="1:45" s="711" customFormat="1" ht="12.75" customHeight="1" x14ac:dyDescent="0.25">
      <c r="A137" s="710"/>
      <c r="B137" s="8"/>
      <c r="C137" s="8"/>
      <c r="D137" s="1164"/>
      <c r="E137" s="1164"/>
      <c r="F137" s="1164"/>
      <c r="G137" s="1164"/>
      <c r="H137" s="1164"/>
      <c r="I137" s="1164"/>
      <c r="J137" s="1162"/>
      <c r="K137" s="1162"/>
      <c r="L137" s="1162"/>
      <c r="M137" s="1162"/>
      <c r="N137" s="1160"/>
      <c r="O137" s="1160"/>
      <c r="P137" s="1161"/>
      <c r="Q137" s="1161"/>
      <c r="R137" s="8"/>
      <c r="S137" s="8"/>
      <c r="T137" s="8"/>
      <c r="U137" s="8"/>
      <c r="V137" s="713"/>
      <c r="W137" s="713"/>
      <c r="X137" s="713"/>
      <c r="Y137" s="713"/>
      <c r="Z137" s="713"/>
      <c r="AA137" s="713"/>
      <c r="AB137" s="713"/>
      <c r="AC137" s="713"/>
      <c r="AD137" s="713"/>
      <c r="AE137" s="713"/>
      <c r="AF137" s="713"/>
      <c r="AG137" s="713"/>
      <c r="AH137" s="713"/>
      <c r="AI137" s="713"/>
      <c r="AJ137" s="713"/>
      <c r="AK137" s="713"/>
      <c r="AL137" s="713"/>
      <c r="AM137" s="713"/>
      <c r="AN137" s="713"/>
      <c r="AO137" s="713"/>
      <c r="AP137" s="714"/>
      <c r="AQ137" s="715"/>
      <c r="AR137" s="707"/>
      <c r="AS137" s="707"/>
    </row>
    <row r="138" spans="1:45" s="711" customFormat="1" ht="12.75" customHeight="1" x14ac:dyDescent="0.25">
      <c r="A138" s="710"/>
      <c r="B138" s="52" t="s">
        <v>593</v>
      </c>
      <c r="C138" s="21"/>
      <c r="D138" s="21"/>
      <c r="E138" s="21"/>
      <c r="F138" s="21"/>
      <c r="G138" s="21"/>
      <c r="H138" s="21"/>
      <c r="I138" s="21"/>
      <c r="J138" s="22"/>
      <c r="K138" s="22"/>
      <c r="L138" s="22"/>
      <c r="M138" s="22"/>
      <c r="N138" s="22"/>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714"/>
      <c r="AQ138" s="715"/>
      <c r="AR138" s="707"/>
      <c r="AS138" s="707"/>
    </row>
    <row r="139" spans="1:45" s="711" customFormat="1" ht="12.75" customHeight="1" x14ac:dyDescent="0.25">
      <c r="A139" s="710"/>
      <c r="B139" s="8"/>
      <c r="C139" s="8"/>
      <c r="D139" s="1164"/>
      <c r="E139" s="1164"/>
      <c r="F139" s="1164"/>
      <c r="G139" s="1164"/>
      <c r="H139" s="1164"/>
      <c r="I139" s="1164"/>
      <c r="J139" s="1162"/>
      <c r="K139" s="1162"/>
      <c r="L139" s="1162"/>
      <c r="M139" s="1162"/>
      <c r="N139" s="1160"/>
      <c r="O139" s="1160"/>
      <c r="P139" s="1161"/>
      <c r="Q139" s="1161"/>
      <c r="R139" s="8"/>
      <c r="S139" s="8"/>
      <c r="T139" s="8"/>
      <c r="U139" s="8"/>
      <c r="V139" s="713"/>
      <c r="W139" s="713"/>
      <c r="X139" s="713"/>
      <c r="Y139" s="713"/>
      <c r="Z139" s="713"/>
      <c r="AA139" s="713"/>
      <c r="AB139" s="713"/>
      <c r="AC139" s="713"/>
      <c r="AD139" s="713"/>
      <c r="AE139" s="713"/>
      <c r="AF139" s="713"/>
      <c r="AG139" s="713"/>
      <c r="AH139" s="713"/>
      <c r="AI139" s="713"/>
      <c r="AJ139" s="713"/>
      <c r="AK139" s="713"/>
      <c r="AL139" s="713"/>
      <c r="AM139" s="713"/>
      <c r="AN139" s="713"/>
      <c r="AO139" s="713"/>
      <c r="AP139" s="714"/>
      <c r="AQ139" s="715"/>
      <c r="AR139" s="707"/>
      <c r="AS139" s="707"/>
    </row>
    <row r="140" spans="1:45" s="711" customFormat="1" ht="12.75" customHeight="1" x14ac:dyDescent="0.25">
      <c r="A140" s="710"/>
      <c r="B140" s="8"/>
      <c r="C140" s="2029" t="s">
        <v>613</v>
      </c>
      <c r="D140" s="2030"/>
      <c r="E140" s="2030"/>
      <c r="F140" s="2030"/>
      <c r="G140" s="2030"/>
      <c r="H140" s="2030"/>
      <c r="I140" s="2030"/>
      <c r="J140" s="2030"/>
      <c r="K140" s="2030"/>
      <c r="L140" s="2030"/>
      <c r="M140" s="2030"/>
      <c r="N140" s="2030"/>
      <c r="O140" s="2030"/>
      <c r="P140" s="2030"/>
      <c r="Q140" s="2031"/>
      <c r="R140" s="8"/>
      <c r="S140" s="8"/>
      <c r="T140" s="8"/>
      <c r="U140" s="8"/>
      <c r="V140" s="713"/>
      <c r="W140" s="713"/>
      <c r="X140" s="713"/>
      <c r="Y140" s="713"/>
      <c r="Z140" s="713"/>
      <c r="AA140" s="713"/>
      <c r="AB140" s="713"/>
      <c r="AC140" s="713"/>
      <c r="AD140" s="713"/>
      <c r="AE140" s="713"/>
      <c r="AF140" s="713"/>
      <c r="AG140" s="713"/>
      <c r="AH140" s="713"/>
      <c r="AI140" s="713"/>
      <c r="AJ140" s="713"/>
      <c r="AK140" s="713"/>
      <c r="AL140" s="713"/>
      <c r="AM140" s="713"/>
      <c r="AN140" s="713"/>
      <c r="AO140" s="713"/>
      <c r="AP140" s="714"/>
      <c r="AQ140" s="715"/>
      <c r="AR140" s="707"/>
      <c r="AS140" s="707"/>
    </row>
    <row r="141" spans="1:45" s="711" customFormat="1" ht="12.75" customHeight="1" x14ac:dyDescent="0.25">
      <c r="A141" s="710"/>
      <c r="B141" s="8"/>
      <c r="C141" s="2032"/>
      <c r="D141" s="2033"/>
      <c r="E141" s="2033"/>
      <c r="F141" s="2033"/>
      <c r="G141" s="2033"/>
      <c r="H141" s="2033"/>
      <c r="I141" s="2033"/>
      <c r="J141" s="2033"/>
      <c r="K141" s="2033"/>
      <c r="L141" s="2033"/>
      <c r="M141" s="2033"/>
      <c r="N141" s="2033"/>
      <c r="O141" s="2033"/>
      <c r="P141" s="2033"/>
      <c r="Q141" s="2034"/>
      <c r="R141" s="8"/>
      <c r="S141" s="8"/>
      <c r="T141" s="8"/>
      <c r="U141" s="8"/>
      <c r="V141" s="713"/>
      <c r="W141" s="713"/>
      <c r="X141" s="713"/>
      <c r="Y141" s="713"/>
      <c r="Z141" s="713"/>
      <c r="AA141" s="713"/>
      <c r="AB141" s="713"/>
      <c r="AC141" s="713"/>
      <c r="AD141" s="713"/>
      <c r="AE141" s="713"/>
      <c r="AF141" s="713"/>
      <c r="AG141" s="713"/>
      <c r="AH141" s="713"/>
      <c r="AI141" s="713"/>
      <c r="AJ141" s="713"/>
      <c r="AK141" s="713"/>
      <c r="AL141" s="713"/>
      <c r="AM141" s="713"/>
      <c r="AN141" s="713"/>
      <c r="AO141" s="713"/>
      <c r="AP141" s="714"/>
      <c r="AQ141" s="715"/>
      <c r="AR141" s="707"/>
      <c r="AS141" s="707"/>
    </row>
    <row r="142" spans="1:45" s="711" customFormat="1" ht="12.75" customHeight="1" x14ac:dyDescent="0.25">
      <c r="A142" s="710"/>
      <c r="B142" s="8"/>
      <c r="C142" s="2032"/>
      <c r="D142" s="2033"/>
      <c r="E142" s="2033"/>
      <c r="F142" s="2033"/>
      <c r="G142" s="2033"/>
      <c r="H142" s="2033"/>
      <c r="I142" s="2033"/>
      <c r="J142" s="2033"/>
      <c r="K142" s="2033"/>
      <c r="L142" s="2033"/>
      <c r="M142" s="2033"/>
      <c r="N142" s="2033"/>
      <c r="O142" s="2033"/>
      <c r="P142" s="2033"/>
      <c r="Q142" s="2034"/>
      <c r="R142" s="8"/>
      <c r="S142" s="8"/>
      <c r="T142" s="8"/>
      <c r="U142" s="8"/>
      <c r="V142" s="713"/>
      <c r="W142" s="713"/>
      <c r="X142" s="713"/>
      <c r="Y142" s="713"/>
      <c r="Z142" s="713"/>
      <c r="AA142" s="713"/>
      <c r="AB142" s="713"/>
      <c r="AC142" s="713"/>
      <c r="AD142" s="713"/>
      <c r="AE142" s="713"/>
      <c r="AF142" s="713"/>
      <c r="AG142" s="713"/>
      <c r="AH142" s="713"/>
      <c r="AI142" s="713"/>
      <c r="AJ142" s="713"/>
      <c r="AK142" s="713"/>
      <c r="AL142" s="713"/>
      <c r="AM142" s="713"/>
      <c r="AN142" s="713"/>
      <c r="AO142" s="713"/>
      <c r="AP142" s="714"/>
      <c r="AQ142" s="715"/>
      <c r="AR142" s="707"/>
      <c r="AS142" s="707"/>
    </row>
    <row r="143" spans="1:45" s="711" customFormat="1" ht="12.75" customHeight="1" x14ac:dyDescent="0.25">
      <c r="A143" s="710"/>
      <c r="B143" s="8"/>
      <c r="C143" s="2032"/>
      <c r="D143" s="2033"/>
      <c r="E143" s="2033"/>
      <c r="F143" s="2033"/>
      <c r="G143" s="2033"/>
      <c r="H143" s="2033"/>
      <c r="I143" s="2033"/>
      <c r="J143" s="2033"/>
      <c r="K143" s="2033"/>
      <c r="L143" s="2033"/>
      <c r="M143" s="2033"/>
      <c r="N143" s="2033"/>
      <c r="O143" s="2033"/>
      <c r="P143" s="2033"/>
      <c r="Q143" s="2034"/>
      <c r="R143" s="8"/>
      <c r="S143" s="8"/>
      <c r="T143" s="8"/>
      <c r="U143" s="8"/>
      <c r="V143" s="713"/>
      <c r="W143" s="713"/>
      <c r="X143" s="713"/>
      <c r="Y143" s="713"/>
      <c r="Z143" s="713"/>
      <c r="AA143" s="713"/>
      <c r="AB143" s="713"/>
      <c r="AC143" s="713"/>
      <c r="AD143" s="713"/>
      <c r="AE143" s="713"/>
      <c r="AF143" s="713"/>
      <c r="AG143" s="713"/>
      <c r="AH143" s="713"/>
      <c r="AI143" s="713"/>
      <c r="AJ143" s="713"/>
      <c r="AK143" s="713"/>
      <c r="AL143" s="713"/>
      <c r="AM143" s="713"/>
      <c r="AN143" s="713"/>
      <c r="AO143" s="713"/>
      <c r="AP143" s="714"/>
      <c r="AQ143" s="715"/>
      <c r="AR143" s="707"/>
      <c r="AS143" s="707"/>
    </row>
    <row r="144" spans="1:45" s="711" customFormat="1" ht="12.75" customHeight="1" x14ac:dyDescent="0.25">
      <c r="A144" s="710"/>
      <c r="B144" s="8"/>
      <c r="C144" s="2032"/>
      <c r="D144" s="2033"/>
      <c r="E144" s="2033"/>
      <c r="F144" s="2033"/>
      <c r="G144" s="2033"/>
      <c r="H144" s="2033"/>
      <c r="I144" s="2033"/>
      <c r="J144" s="2033"/>
      <c r="K144" s="2033"/>
      <c r="L144" s="2033"/>
      <c r="M144" s="2033"/>
      <c r="N144" s="2033"/>
      <c r="O144" s="2033"/>
      <c r="P144" s="2033"/>
      <c r="Q144" s="2034"/>
      <c r="R144" s="8"/>
      <c r="S144" s="8"/>
      <c r="T144" s="8"/>
      <c r="U144" s="8"/>
      <c r="V144" s="713"/>
      <c r="W144" s="713"/>
      <c r="X144" s="713"/>
      <c r="Y144" s="713"/>
      <c r="Z144" s="713"/>
      <c r="AA144" s="713"/>
      <c r="AB144" s="713"/>
      <c r="AC144" s="713"/>
      <c r="AD144" s="713"/>
      <c r="AE144" s="713"/>
      <c r="AF144" s="713"/>
      <c r="AG144" s="713"/>
      <c r="AH144" s="713"/>
      <c r="AI144" s="713"/>
      <c r="AJ144" s="713"/>
      <c r="AK144" s="713"/>
      <c r="AL144" s="713"/>
      <c r="AM144" s="713"/>
      <c r="AN144" s="713"/>
      <c r="AO144" s="713"/>
      <c r="AP144" s="714"/>
      <c r="AQ144" s="715"/>
      <c r="AR144" s="707"/>
      <c r="AS144" s="707"/>
    </row>
    <row r="145" spans="1:45" s="711" customFormat="1" ht="12.75" customHeight="1" x14ac:dyDescent="0.25">
      <c r="A145" s="710"/>
      <c r="B145" s="8"/>
      <c r="C145" s="2032"/>
      <c r="D145" s="2033"/>
      <c r="E145" s="2033"/>
      <c r="F145" s="2033"/>
      <c r="G145" s="2033"/>
      <c r="H145" s="2033"/>
      <c r="I145" s="2033"/>
      <c r="J145" s="2033"/>
      <c r="K145" s="2033"/>
      <c r="L145" s="2033"/>
      <c r="M145" s="2033"/>
      <c r="N145" s="2033"/>
      <c r="O145" s="2033"/>
      <c r="P145" s="2033"/>
      <c r="Q145" s="2034"/>
      <c r="R145" s="8"/>
      <c r="S145" s="8"/>
      <c r="T145" s="8"/>
      <c r="U145" s="8"/>
      <c r="V145" s="713"/>
      <c r="W145" s="713"/>
      <c r="X145" s="713"/>
      <c r="Y145" s="713"/>
      <c r="Z145" s="713"/>
      <c r="AA145" s="713"/>
      <c r="AB145" s="713"/>
      <c r="AC145" s="713"/>
      <c r="AD145" s="713"/>
      <c r="AE145" s="713"/>
      <c r="AF145" s="713"/>
      <c r="AG145" s="713"/>
      <c r="AH145" s="713"/>
      <c r="AI145" s="713"/>
      <c r="AJ145" s="713"/>
      <c r="AK145" s="713"/>
      <c r="AL145" s="713"/>
      <c r="AM145" s="713"/>
      <c r="AN145" s="713"/>
      <c r="AO145" s="713"/>
      <c r="AP145" s="714"/>
      <c r="AQ145" s="715"/>
      <c r="AR145" s="707"/>
      <c r="AS145" s="707"/>
    </row>
    <row r="146" spans="1:45" s="711" customFormat="1" ht="12.75" customHeight="1" x14ac:dyDescent="0.25">
      <c r="A146" s="710"/>
      <c r="B146" s="8"/>
      <c r="C146" s="2035"/>
      <c r="D146" s="2036"/>
      <c r="E146" s="2036"/>
      <c r="F146" s="2036"/>
      <c r="G146" s="2036"/>
      <c r="H146" s="2036"/>
      <c r="I146" s="2036"/>
      <c r="J146" s="2036"/>
      <c r="K146" s="2036"/>
      <c r="L146" s="2036"/>
      <c r="M146" s="2036"/>
      <c r="N146" s="2036"/>
      <c r="O146" s="2036"/>
      <c r="P146" s="2036"/>
      <c r="Q146" s="2037"/>
      <c r="R146" s="8"/>
      <c r="S146" s="8"/>
      <c r="T146" s="8"/>
      <c r="U146" s="8"/>
      <c r="V146" s="713"/>
      <c r="W146" s="713"/>
      <c r="X146" s="713"/>
      <c r="Y146" s="713"/>
      <c r="Z146" s="713"/>
      <c r="AA146" s="713"/>
      <c r="AB146" s="713"/>
      <c r="AC146" s="713"/>
      <c r="AD146" s="713"/>
      <c r="AE146" s="713"/>
      <c r="AF146" s="713"/>
      <c r="AG146" s="713"/>
      <c r="AH146" s="713"/>
      <c r="AI146" s="713"/>
      <c r="AJ146" s="713"/>
      <c r="AK146" s="713"/>
      <c r="AL146" s="713"/>
      <c r="AM146" s="713"/>
      <c r="AN146" s="713"/>
      <c r="AO146" s="713"/>
      <c r="AP146" s="714"/>
      <c r="AQ146" s="715"/>
      <c r="AR146" s="707"/>
      <c r="AS146" s="707"/>
    </row>
    <row r="147" spans="1:45" s="711" customFormat="1" ht="12.75" customHeight="1" x14ac:dyDescent="0.25">
      <c r="A147" s="710"/>
      <c r="B147" s="8"/>
      <c r="C147" s="8"/>
      <c r="D147" s="1164"/>
      <c r="E147" s="1164"/>
      <c r="F147" s="1164"/>
      <c r="G147" s="1164"/>
      <c r="H147" s="1164"/>
      <c r="I147" s="1164"/>
      <c r="J147" s="1162"/>
      <c r="K147" s="1162"/>
      <c r="L147" s="1162"/>
      <c r="M147" s="1162"/>
      <c r="N147" s="1160"/>
      <c r="O147" s="1160"/>
      <c r="P147" s="1161"/>
      <c r="Q147" s="1161"/>
      <c r="R147" s="8"/>
      <c r="S147" s="8"/>
      <c r="T147" s="8"/>
      <c r="U147" s="8"/>
      <c r="V147" s="713"/>
      <c r="W147" s="713"/>
      <c r="X147" s="713"/>
      <c r="Y147" s="713"/>
      <c r="Z147" s="713"/>
      <c r="AA147" s="713"/>
      <c r="AB147" s="713"/>
      <c r="AC147" s="713"/>
      <c r="AD147" s="713"/>
      <c r="AE147" s="713"/>
      <c r="AF147" s="713"/>
      <c r="AG147" s="713"/>
      <c r="AH147" s="713"/>
      <c r="AI147" s="713"/>
      <c r="AJ147" s="713"/>
      <c r="AK147" s="713"/>
      <c r="AL147" s="713"/>
      <c r="AM147" s="713"/>
      <c r="AN147" s="713"/>
      <c r="AO147" s="713"/>
      <c r="AP147" s="714"/>
      <c r="AQ147" s="715"/>
      <c r="AR147" s="707"/>
      <c r="AS147" s="707"/>
    </row>
    <row r="148" spans="1:45" s="711" customFormat="1" ht="12.75" customHeight="1" x14ac:dyDescent="0.25">
      <c r="A148" s="710"/>
      <c r="B148" s="8"/>
      <c r="C148" s="8"/>
      <c r="D148" s="1164"/>
      <c r="E148" s="1164"/>
      <c r="F148" s="1164"/>
      <c r="G148" s="1164"/>
      <c r="H148" s="1164"/>
      <c r="I148" s="1164"/>
      <c r="J148" s="1162"/>
      <c r="K148" s="1162"/>
      <c r="L148" s="1162"/>
      <c r="M148" s="1162"/>
      <c r="N148" s="1160"/>
      <c r="O148" s="1160"/>
      <c r="P148" s="1161"/>
      <c r="Q148" s="1161"/>
      <c r="R148" s="8"/>
      <c r="S148" s="8"/>
      <c r="T148" s="8"/>
      <c r="U148" s="8"/>
      <c r="V148" s="713"/>
      <c r="W148" s="713"/>
      <c r="X148" s="713"/>
      <c r="Y148" s="713"/>
      <c r="Z148" s="713"/>
      <c r="AA148" s="713"/>
      <c r="AB148" s="713"/>
      <c r="AC148" s="713"/>
      <c r="AD148" s="713"/>
      <c r="AE148" s="713"/>
      <c r="AF148" s="713"/>
      <c r="AG148" s="713"/>
      <c r="AH148" s="713"/>
      <c r="AI148" s="713"/>
      <c r="AJ148" s="713"/>
      <c r="AK148" s="713"/>
      <c r="AL148" s="713"/>
      <c r="AM148" s="713"/>
      <c r="AN148" s="713"/>
      <c r="AO148" s="713"/>
      <c r="AP148" s="714"/>
      <c r="AQ148" s="715"/>
      <c r="AR148" s="707"/>
      <c r="AS148" s="707"/>
    </row>
    <row r="149" spans="1:45" s="711" customFormat="1" ht="12.75" customHeight="1" x14ac:dyDescent="0.25">
      <c r="A149" s="710"/>
      <c r="B149" s="707"/>
      <c r="C149" s="707"/>
      <c r="F149" s="712"/>
      <c r="G149" s="712"/>
      <c r="H149" s="712"/>
      <c r="I149" s="712"/>
      <c r="J149" s="713"/>
      <c r="K149" s="713"/>
      <c r="L149" s="713"/>
      <c r="M149" s="713"/>
      <c r="N149" s="713"/>
      <c r="O149" s="713"/>
      <c r="P149" s="713"/>
      <c r="Q149" s="713"/>
      <c r="R149" s="713"/>
      <c r="S149" s="713"/>
      <c r="T149" s="713"/>
      <c r="U149" s="713"/>
      <c r="V149" s="713"/>
      <c r="W149" s="713"/>
      <c r="X149" s="713"/>
      <c r="Y149" s="713"/>
      <c r="Z149" s="713"/>
      <c r="AA149" s="713"/>
      <c r="AB149" s="713"/>
      <c r="AC149" s="713"/>
      <c r="AD149" s="713"/>
      <c r="AE149" s="713"/>
      <c r="AF149" s="713"/>
      <c r="AG149" s="713"/>
      <c r="AH149" s="713"/>
      <c r="AI149" s="713"/>
      <c r="AJ149" s="713"/>
      <c r="AK149" s="713"/>
      <c r="AL149" s="713"/>
      <c r="AM149" s="713"/>
      <c r="AN149" s="713"/>
      <c r="AO149" s="713"/>
      <c r="AP149" s="714"/>
      <c r="AQ149" s="715"/>
      <c r="AR149" s="707"/>
      <c r="AS149" s="707"/>
    </row>
    <row r="150" spans="1:45" s="711" customFormat="1" ht="12.75" customHeight="1" x14ac:dyDescent="0.25">
      <c r="A150" s="44" t="s">
        <v>544</v>
      </c>
      <c r="B150" s="44"/>
      <c r="C150" s="44"/>
      <c r="D150" s="44"/>
      <c r="E150" s="44"/>
      <c r="F150" s="44"/>
      <c r="G150" s="44"/>
      <c r="H150" s="44"/>
      <c r="I150" s="44"/>
      <c r="J150" s="45"/>
      <c r="K150" s="45"/>
      <c r="L150" s="45"/>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714"/>
      <c r="AQ150" s="715"/>
      <c r="AR150" s="707"/>
      <c r="AS150" s="707"/>
    </row>
    <row r="151" spans="1:45" s="711" customFormat="1" ht="12.75" customHeight="1" x14ac:dyDescent="0.25">
      <c r="A151" s="710"/>
      <c r="B151" s="707"/>
      <c r="C151" s="707"/>
      <c r="F151" s="712"/>
      <c r="G151" s="712"/>
      <c r="H151" s="712"/>
      <c r="I151" s="712"/>
      <c r="J151" s="713"/>
      <c r="K151" s="713"/>
      <c r="L151" s="713"/>
      <c r="M151" s="713"/>
      <c r="N151" s="713"/>
      <c r="O151" s="713"/>
      <c r="P151" s="713"/>
      <c r="Q151" s="713"/>
      <c r="R151" s="713"/>
      <c r="S151" s="713"/>
      <c r="T151" s="713"/>
      <c r="U151" s="713"/>
      <c r="V151" s="713"/>
      <c r="W151" s="713"/>
      <c r="X151" s="713"/>
      <c r="Y151" s="713"/>
      <c r="Z151" s="713"/>
      <c r="AA151" s="713"/>
      <c r="AB151" s="713"/>
      <c r="AC151" s="713"/>
      <c r="AD151" s="713"/>
      <c r="AE151" s="713"/>
      <c r="AF151" s="713"/>
      <c r="AG151" s="713"/>
      <c r="AH151" s="713"/>
      <c r="AI151" s="713"/>
      <c r="AJ151" s="713"/>
      <c r="AK151" s="713"/>
      <c r="AL151" s="713"/>
      <c r="AM151" s="713"/>
      <c r="AN151" s="713"/>
      <c r="AO151" s="713"/>
      <c r="AP151" s="714"/>
      <c r="AQ151" s="715"/>
      <c r="AR151" s="707"/>
      <c r="AS151" s="707"/>
    </row>
    <row r="152" spans="1:45" s="711" customFormat="1" ht="12.75" customHeight="1" x14ac:dyDescent="0.25">
      <c r="A152" s="710"/>
      <c r="B152" s="55" t="s">
        <v>518</v>
      </c>
      <c r="C152" s="55"/>
      <c r="D152" s="81"/>
      <c r="E152" s="81"/>
      <c r="F152" s="81"/>
      <c r="G152" s="81"/>
      <c r="H152" s="81"/>
      <c r="I152" s="81"/>
      <c r="J152" s="81"/>
      <c r="K152" s="81"/>
      <c r="L152" s="81"/>
      <c r="M152" s="81"/>
      <c r="N152" s="81"/>
      <c r="O152" s="55"/>
      <c r="P152" s="55"/>
      <c r="Q152" s="55"/>
      <c r="R152" s="788"/>
      <c r="S152" s="788"/>
      <c r="T152" s="788"/>
      <c r="U152" s="788"/>
      <c r="V152" s="788"/>
      <c r="W152" s="788"/>
      <c r="X152" s="788"/>
      <c r="Y152" s="788"/>
      <c r="Z152" s="788"/>
      <c r="AA152" s="788"/>
      <c r="AB152" s="788"/>
      <c r="AC152" s="788"/>
      <c r="AD152" s="788"/>
      <c r="AE152" s="788"/>
      <c r="AF152" s="788"/>
      <c r="AG152" s="788"/>
      <c r="AH152" s="788"/>
      <c r="AI152" s="788"/>
      <c r="AJ152" s="788"/>
      <c r="AK152" s="788"/>
      <c r="AL152" s="788"/>
      <c r="AM152" s="788"/>
      <c r="AN152" s="788"/>
      <c r="AO152" s="788"/>
      <c r="AP152" s="714"/>
      <c r="AQ152" s="715"/>
      <c r="AR152" s="707"/>
      <c r="AS152" s="707"/>
    </row>
    <row r="153" spans="1:45" s="711" customFormat="1" ht="12.75" customHeight="1" x14ac:dyDescent="0.25">
      <c r="A153" s="710"/>
      <c r="B153" s="707"/>
      <c r="C153" s="707"/>
      <c r="F153" s="712"/>
      <c r="G153" s="712"/>
      <c r="H153" s="712"/>
      <c r="I153" s="712"/>
      <c r="J153" s="713"/>
      <c r="K153" s="713"/>
      <c r="L153" s="713"/>
      <c r="M153" s="713"/>
      <c r="N153" s="713"/>
      <c r="O153" s="713"/>
      <c r="P153" s="713"/>
      <c r="Q153" s="713"/>
      <c r="R153" s="713"/>
      <c r="S153" s="713"/>
      <c r="T153" s="713"/>
      <c r="U153" s="713"/>
      <c r="V153" s="713"/>
      <c r="W153" s="713"/>
      <c r="X153" s="713"/>
      <c r="Y153" s="713"/>
      <c r="Z153" s="713"/>
      <c r="AA153" s="713"/>
      <c r="AB153" s="713"/>
      <c r="AC153" s="713"/>
      <c r="AD153" s="713"/>
      <c r="AE153" s="713"/>
      <c r="AF153" s="713"/>
      <c r="AG153" s="713"/>
      <c r="AH153" s="713"/>
      <c r="AI153" s="713"/>
      <c r="AJ153" s="713"/>
      <c r="AK153" s="713"/>
      <c r="AL153" s="713"/>
      <c r="AM153" s="713"/>
      <c r="AN153" s="713"/>
      <c r="AO153" s="713"/>
      <c r="AP153" s="714"/>
      <c r="AQ153" s="715"/>
      <c r="AR153" s="707"/>
      <c r="AS153" s="707"/>
    </row>
    <row r="154" spans="1:45" s="711" customFormat="1" ht="12.75" customHeight="1" x14ac:dyDescent="0.3">
      <c r="A154" s="710"/>
      <c r="B154" s="707"/>
      <c r="C154" s="707" t="s">
        <v>545</v>
      </c>
      <c r="F154" s="712"/>
      <c r="G154" s="712"/>
      <c r="I154" s="712"/>
      <c r="J154" s="713"/>
      <c r="K154" s="713"/>
      <c r="L154" s="713"/>
      <c r="M154" s="713"/>
      <c r="N154" s="713"/>
      <c r="O154" s="2005" t="s">
        <v>538</v>
      </c>
      <c r="P154" s="2006"/>
      <c r="Q154" s="713"/>
      <c r="R154" s="713"/>
      <c r="S154" s="713"/>
      <c r="T154" s="713"/>
      <c r="U154" s="713"/>
      <c r="V154" s="713"/>
      <c r="W154" s="713"/>
      <c r="X154" s="713"/>
      <c r="Y154" s="713"/>
      <c r="Z154" s="713"/>
      <c r="AA154" s="713"/>
      <c r="AB154" s="713"/>
      <c r="AC154" s="713"/>
      <c r="AD154" s="713"/>
      <c r="AE154" s="713"/>
      <c r="AF154" s="713"/>
      <c r="AG154" s="713"/>
      <c r="AH154" s="713"/>
      <c r="AI154" s="713"/>
      <c r="AJ154" s="713"/>
      <c r="AK154" s="713"/>
      <c r="AL154" s="713"/>
      <c r="AM154" s="713"/>
      <c r="AN154" s="713"/>
      <c r="AO154" s="713"/>
      <c r="AP154" s="714"/>
      <c r="AQ154" s="715"/>
      <c r="AR154" s="707"/>
      <c r="AS154" s="707"/>
    </row>
    <row r="155" spans="1:45" s="711" customFormat="1" ht="12.75" customHeight="1" x14ac:dyDescent="0.25">
      <c r="A155" s="710"/>
      <c r="B155" s="707"/>
      <c r="C155" s="707"/>
      <c r="D155" s="707" t="s">
        <v>517</v>
      </c>
      <c r="F155" s="712"/>
      <c r="G155" s="712"/>
      <c r="I155" s="712"/>
      <c r="J155" s="68" t="s">
        <v>16</v>
      </c>
      <c r="K155" s="68"/>
      <c r="L155" s="68"/>
      <c r="M155" s="713"/>
      <c r="N155" s="713"/>
      <c r="O155" s="2007">
        <v>0</v>
      </c>
      <c r="P155" s="2008"/>
      <c r="Q155" s="713"/>
      <c r="R155" s="713"/>
      <c r="S155" s="713"/>
      <c r="T155" s="713"/>
      <c r="U155" s="713"/>
      <c r="V155" s="713"/>
      <c r="W155" s="713"/>
      <c r="X155" s="713"/>
      <c r="Y155" s="713"/>
      <c r="Z155" s="713"/>
      <c r="AA155" s="713"/>
      <c r="AB155" s="713"/>
      <c r="AC155" s="713"/>
      <c r="AD155" s="713"/>
      <c r="AE155" s="713"/>
      <c r="AF155" s="713"/>
      <c r="AG155" s="713"/>
      <c r="AH155" s="713"/>
      <c r="AI155" s="713"/>
      <c r="AJ155" s="713"/>
      <c r="AK155" s="713"/>
      <c r="AL155" s="713"/>
      <c r="AM155" s="713"/>
      <c r="AN155" s="713"/>
      <c r="AO155" s="713"/>
      <c r="AP155" s="714"/>
      <c r="AQ155" s="715"/>
      <c r="AR155" s="707"/>
      <c r="AS155" s="707"/>
    </row>
    <row r="156" spans="1:45" s="711" customFormat="1" ht="12.75" customHeight="1" x14ac:dyDescent="0.25">
      <c r="A156" s="710"/>
      <c r="B156" s="707"/>
      <c r="C156" s="707"/>
      <c r="D156" s="707" t="s">
        <v>546</v>
      </c>
      <c r="F156" s="712"/>
      <c r="G156" s="712"/>
      <c r="I156" s="712"/>
      <c r="J156" s="68" t="s">
        <v>16</v>
      </c>
      <c r="K156" s="68"/>
      <c r="L156" s="68"/>
      <c r="M156" s="713"/>
      <c r="N156" s="713"/>
      <c r="O156" s="1975">
        <v>0</v>
      </c>
      <c r="P156" s="1976"/>
      <c r="Q156" s="713"/>
      <c r="R156" s="713"/>
      <c r="S156" s="713"/>
      <c r="T156" s="713"/>
      <c r="U156" s="713"/>
      <c r="V156" s="713"/>
      <c r="W156" s="713"/>
      <c r="X156" s="713"/>
      <c r="Y156" s="713"/>
      <c r="Z156" s="713"/>
      <c r="AA156" s="713"/>
      <c r="AB156" s="713"/>
      <c r="AC156" s="713"/>
      <c r="AD156" s="713"/>
      <c r="AE156" s="713"/>
      <c r="AF156" s="713"/>
      <c r="AG156" s="713"/>
      <c r="AH156" s="713"/>
      <c r="AI156" s="713"/>
      <c r="AJ156" s="713"/>
      <c r="AK156" s="713"/>
      <c r="AL156" s="713"/>
      <c r="AM156" s="713"/>
      <c r="AN156" s="713"/>
      <c r="AO156" s="713"/>
      <c r="AP156" s="714"/>
      <c r="AQ156" s="715"/>
      <c r="AR156" s="707"/>
      <c r="AS156" s="707"/>
    </row>
    <row r="157" spans="1:45" s="711" customFormat="1" ht="12.75" customHeight="1" x14ac:dyDescent="0.25">
      <c r="A157" s="710"/>
      <c r="B157" s="707"/>
      <c r="C157" s="707"/>
      <c r="F157" s="712"/>
      <c r="G157" s="712"/>
      <c r="H157" s="712"/>
      <c r="I157" s="712"/>
      <c r="J157" s="713"/>
      <c r="K157" s="713"/>
      <c r="L157" s="713"/>
      <c r="M157" s="713"/>
      <c r="N157" s="713"/>
      <c r="O157" s="713"/>
      <c r="P157" s="713"/>
      <c r="Q157" s="713"/>
      <c r="R157" s="713"/>
      <c r="S157" s="713"/>
      <c r="T157" s="713"/>
      <c r="U157" s="713"/>
      <c r="V157" s="713"/>
      <c r="W157" s="713"/>
      <c r="X157" s="713"/>
      <c r="Y157" s="713"/>
      <c r="Z157" s="713"/>
      <c r="AA157" s="713"/>
      <c r="AB157" s="713"/>
      <c r="AC157" s="713"/>
      <c r="AD157" s="713"/>
      <c r="AE157" s="713"/>
      <c r="AF157" s="713"/>
      <c r="AG157" s="713"/>
      <c r="AH157" s="713"/>
      <c r="AI157" s="713"/>
      <c r="AJ157" s="713"/>
      <c r="AK157" s="713"/>
      <c r="AL157" s="713"/>
      <c r="AM157" s="713"/>
      <c r="AN157" s="713"/>
      <c r="AO157" s="713"/>
      <c r="AP157" s="714"/>
      <c r="AQ157" s="715"/>
      <c r="AR157" s="707"/>
      <c r="AS157" s="707"/>
    </row>
    <row r="158" spans="1:45" s="711" customFormat="1" ht="12.75" customHeight="1" x14ac:dyDescent="0.25">
      <c r="A158" s="710"/>
      <c r="B158" s="707"/>
      <c r="C158" s="707"/>
      <c r="F158" s="712"/>
      <c r="G158" s="712"/>
      <c r="H158" s="712"/>
      <c r="I158" s="712"/>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4"/>
      <c r="AQ158" s="715"/>
      <c r="AR158" s="707"/>
      <c r="AS158" s="707"/>
    </row>
    <row r="159" spans="1:45" s="711" customFormat="1" ht="12.75" customHeight="1" x14ac:dyDescent="0.25">
      <c r="A159" s="710"/>
      <c r="B159" s="52" t="s">
        <v>592</v>
      </c>
      <c r="C159" s="21"/>
      <c r="D159" s="21"/>
      <c r="E159" s="21"/>
      <c r="F159" s="21"/>
      <c r="G159" s="21"/>
      <c r="H159" s="21"/>
      <c r="I159" s="21"/>
      <c r="J159" s="22"/>
      <c r="K159" s="22"/>
      <c r="L159" s="22"/>
      <c r="M159" s="22"/>
      <c r="N159" s="22"/>
      <c r="O159" s="21"/>
      <c r="P159" s="21"/>
      <c r="Q159" s="21"/>
      <c r="R159" s="21"/>
      <c r="S159" s="21"/>
      <c r="T159" s="21"/>
      <c r="U159" s="21"/>
      <c r="V159" s="713"/>
      <c r="W159" s="713"/>
      <c r="X159" s="713"/>
      <c r="Y159" s="713"/>
      <c r="Z159" s="713"/>
      <c r="AA159" s="713"/>
      <c r="AB159" s="713"/>
      <c r="AC159" s="713"/>
      <c r="AD159" s="713"/>
      <c r="AE159" s="713"/>
      <c r="AF159" s="713"/>
      <c r="AG159" s="713"/>
      <c r="AH159" s="713"/>
      <c r="AI159" s="713"/>
      <c r="AJ159" s="713"/>
      <c r="AK159" s="713"/>
      <c r="AL159" s="713"/>
      <c r="AM159" s="713"/>
      <c r="AN159" s="713"/>
      <c r="AO159" s="713"/>
      <c r="AP159" s="714"/>
      <c r="AQ159" s="715"/>
      <c r="AR159" s="707"/>
      <c r="AS159" s="707"/>
    </row>
    <row r="160" spans="1:45" s="711" customFormat="1" ht="12.75" customHeight="1" x14ac:dyDescent="0.25">
      <c r="A160" s="710"/>
      <c r="B160" s="8"/>
      <c r="C160" s="8"/>
      <c r="D160" s="8"/>
      <c r="E160" s="8"/>
      <c r="F160" s="8"/>
      <c r="G160" s="8"/>
      <c r="H160" s="8"/>
      <c r="I160" s="11"/>
      <c r="J160" s="1115"/>
      <c r="K160" s="1115"/>
      <c r="L160" s="1115"/>
      <c r="M160" s="1115"/>
      <c r="N160" s="1115"/>
      <c r="O160" s="1115"/>
      <c r="P160" s="40"/>
      <c r="Q160" s="8"/>
      <c r="R160" s="8"/>
      <c r="S160" s="8"/>
      <c r="T160" s="8"/>
      <c r="U160" s="8"/>
      <c r="V160" s="713"/>
      <c r="W160" s="713"/>
      <c r="X160" s="713"/>
      <c r="Y160" s="713"/>
      <c r="Z160" s="713"/>
      <c r="AA160" s="713"/>
      <c r="AB160" s="713"/>
      <c r="AC160" s="713"/>
      <c r="AD160" s="713"/>
      <c r="AE160" s="713"/>
      <c r="AF160" s="713"/>
      <c r="AG160" s="713"/>
      <c r="AH160" s="713"/>
      <c r="AI160" s="713"/>
      <c r="AJ160" s="713"/>
      <c r="AK160" s="713"/>
      <c r="AL160" s="713"/>
      <c r="AM160" s="713"/>
      <c r="AN160" s="713"/>
      <c r="AO160" s="713"/>
      <c r="AP160" s="714"/>
      <c r="AQ160" s="715"/>
      <c r="AR160" s="707"/>
      <c r="AS160" s="707"/>
    </row>
    <row r="161" spans="1:45" s="711" customFormat="1" ht="12.75" customHeight="1" x14ac:dyDescent="0.25">
      <c r="A161" s="710"/>
      <c r="B161" s="8"/>
      <c r="C161" s="8"/>
      <c r="D161" s="8"/>
      <c r="E161" s="8"/>
      <c r="F161" s="8"/>
      <c r="G161" s="8"/>
      <c r="H161" s="8"/>
      <c r="I161" s="11"/>
      <c r="J161" s="1115"/>
      <c r="K161" s="1115"/>
      <c r="L161" s="1115"/>
      <c r="M161" s="1115"/>
      <c r="N161" s="1115"/>
      <c r="O161" s="1115"/>
      <c r="P161" s="40"/>
      <c r="Q161" s="8"/>
      <c r="R161" s="8"/>
      <c r="S161" s="8"/>
      <c r="T161" s="8"/>
      <c r="U161" s="8"/>
      <c r="V161" s="713"/>
      <c r="W161" s="713"/>
      <c r="X161" s="713"/>
      <c r="Y161" s="713"/>
      <c r="Z161" s="713"/>
      <c r="AA161" s="713"/>
      <c r="AB161" s="713"/>
      <c r="AC161" s="713"/>
      <c r="AD161" s="713"/>
      <c r="AE161" s="713"/>
      <c r="AF161" s="713"/>
      <c r="AG161" s="713"/>
      <c r="AH161" s="713"/>
      <c r="AI161" s="713"/>
      <c r="AJ161" s="713"/>
      <c r="AK161" s="713"/>
      <c r="AL161" s="713"/>
      <c r="AM161" s="713"/>
      <c r="AN161" s="713"/>
      <c r="AO161" s="713"/>
      <c r="AP161" s="714"/>
      <c r="AQ161" s="715"/>
      <c r="AR161" s="707"/>
      <c r="AS161" s="707"/>
    </row>
    <row r="162" spans="1:45" s="711" customFormat="1" ht="12.75" customHeight="1" x14ac:dyDescent="0.25">
      <c r="A162" s="710"/>
      <c r="B162" s="8"/>
      <c r="C162" s="8"/>
      <c r="D162" s="8"/>
      <c r="E162" s="8"/>
      <c r="F162" s="8"/>
      <c r="G162" s="8"/>
      <c r="H162" s="8"/>
      <c r="I162" s="8"/>
      <c r="J162" s="1127"/>
      <c r="K162" s="1127"/>
      <c r="L162" s="1127"/>
      <c r="M162" s="1127"/>
      <c r="N162" s="1518" t="s">
        <v>464</v>
      </c>
      <c r="O162" s="1553"/>
      <c r="P162" s="1553"/>
      <c r="Q162" s="1554"/>
      <c r="R162" s="8"/>
      <c r="S162" s="8"/>
      <c r="T162" s="8"/>
      <c r="U162" s="8"/>
      <c r="V162" s="713"/>
      <c r="W162" s="713"/>
      <c r="X162" s="713"/>
      <c r="Y162" s="713"/>
      <c r="Z162" s="713"/>
      <c r="AA162" s="713"/>
      <c r="AB162" s="713"/>
      <c r="AC162" s="713"/>
      <c r="AD162" s="713"/>
      <c r="AE162" s="713"/>
      <c r="AF162" s="713"/>
      <c r="AG162" s="713"/>
      <c r="AH162" s="713"/>
      <c r="AI162" s="713"/>
      <c r="AJ162" s="713"/>
      <c r="AK162" s="713"/>
      <c r="AL162" s="713"/>
      <c r="AM162" s="713"/>
      <c r="AN162" s="713"/>
      <c r="AO162" s="713"/>
      <c r="AP162" s="714"/>
      <c r="AQ162" s="715"/>
      <c r="AR162" s="707"/>
      <c r="AS162" s="707"/>
    </row>
    <row r="163" spans="1:45" s="711" customFormat="1" ht="12.75" customHeight="1" x14ac:dyDescent="0.25">
      <c r="A163" s="710"/>
      <c r="B163" s="8"/>
      <c r="C163" s="8"/>
      <c r="D163" s="8"/>
      <c r="E163" s="8"/>
      <c r="F163" s="8"/>
      <c r="G163" s="8"/>
      <c r="H163" s="8"/>
      <c r="I163" s="8"/>
      <c r="J163" s="1127"/>
      <c r="K163" s="1127"/>
      <c r="L163" s="1127"/>
      <c r="M163" s="1127"/>
      <c r="N163" s="1501" t="s">
        <v>200</v>
      </c>
      <c r="O163" s="1502"/>
      <c r="P163" s="1503" t="s">
        <v>201</v>
      </c>
      <c r="Q163" s="1504"/>
      <c r="R163" s="8"/>
      <c r="S163" s="8"/>
      <c r="T163" s="8"/>
      <c r="U163" s="8"/>
      <c r="V163" s="713"/>
      <c r="W163" s="713"/>
      <c r="X163" s="713"/>
      <c r="Y163" s="713"/>
      <c r="Z163" s="713"/>
      <c r="AA163" s="713"/>
      <c r="AB163" s="713"/>
      <c r="AC163" s="713"/>
      <c r="AD163" s="713"/>
      <c r="AE163" s="713"/>
      <c r="AF163" s="713"/>
      <c r="AG163" s="713"/>
      <c r="AH163" s="713"/>
      <c r="AI163" s="713"/>
      <c r="AJ163" s="713"/>
      <c r="AK163" s="713"/>
      <c r="AL163" s="713"/>
      <c r="AM163" s="713"/>
      <c r="AN163" s="713"/>
      <c r="AO163" s="713"/>
      <c r="AP163" s="714"/>
      <c r="AQ163" s="715"/>
      <c r="AR163" s="707"/>
      <c r="AS163" s="707"/>
    </row>
    <row r="164" spans="1:45" s="711" customFormat="1" ht="12.75" customHeight="1" x14ac:dyDescent="0.25">
      <c r="A164" s="710"/>
      <c r="C164" s="11" t="s">
        <v>465</v>
      </c>
      <c r="E164" s="11"/>
      <c r="F164" s="11"/>
      <c r="G164" s="11"/>
      <c r="H164" s="11"/>
      <c r="I164" s="11"/>
      <c r="J164" s="1128" t="s">
        <v>614</v>
      </c>
      <c r="K164" s="1128"/>
      <c r="L164" s="1128"/>
      <c r="M164" s="1128"/>
      <c r="N164" s="1977">
        <v>0</v>
      </c>
      <c r="O164" s="1978"/>
      <c r="P164" s="1979">
        <v>0</v>
      </c>
      <c r="Q164" s="1980"/>
      <c r="R164" s="8"/>
      <c r="S164" s="8"/>
      <c r="T164" s="8"/>
      <c r="U164" s="8"/>
      <c r="V164" s="713"/>
      <c r="W164" s="713"/>
      <c r="X164" s="713"/>
      <c r="Y164" s="713"/>
      <c r="Z164" s="713"/>
      <c r="AA164" s="713"/>
      <c r="AB164" s="713"/>
      <c r="AC164" s="713"/>
      <c r="AD164" s="713"/>
      <c r="AE164" s="713"/>
      <c r="AF164" s="713"/>
      <c r="AG164" s="713"/>
      <c r="AH164" s="713"/>
      <c r="AI164" s="713"/>
      <c r="AJ164" s="713"/>
      <c r="AK164" s="713"/>
      <c r="AL164" s="713"/>
      <c r="AM164" s="713"/>
      <c r="AN164" s="713"/>
      <c r="AO164" s="713"/>
      <c r="AP164" s="714"/>
      <c r="AQ164" s="715"/>
      <c r="AR164" s="707"/>
      <c r="AS164" s="707"/>
    </row>
    <row r="165" spans="1:45" s="711" customFormat="1" ht="12.75" customHeight="1" x14ac:dyDescent="0.25">
      <c r="A165" s="710"/>
      <c r="D165" s="8" t="s">
        <v>466</v>
      </c>
      <c r="F165" s="11"/>
      <c r="G165" s="11"/>
      <c r="H165" s="11"/>
      <c r="I165" s="11"/>
      <c r="J165" s="1127" t="s">
        <v>614</v>
      </c>
      <c r="K165" s="1127"/>
      <c r="L165" s="1127"/>
      <c r="M165" s="1128"/>
      <c r="N165" s="2009">
        <v>0</v>
      </c>
      <c r="O165" s="2010"/>
      <c r="P165" s="2011">
        <v>0</v>
      </c>
      <c r="Q165" s="2012"/>
      <c r="R165" s="8"/>
      <c r="S165" s="8"/>
      <c r="T165" s="8"/>
      <c r="U165" s="8"/>
      <c r="V165" s="713"/>
      <c r="W165" s="713"/>
      <c r="X165" s="713"/>
      <c r="Y165" s="713"/>
      <c r="Z165" s="713"/>
      <c r="AA165" s="713"/>
      <c r="AB165" s="713"/>
      <c r="AC165" s="713"/>
      <c r="AD165" s="713"/>
      <c r="AE165" s="713"/>
      <c r="AF165" s="713"/>
      <c r="AG165" s="713"/>
      <c r="AH165" s="713"/>
      <c r="AI165" s="713"/>
      <c r="AJ165" s="713"/>
      <c r="AK165" s="713"/>
      <c r="AL165" s="713"/>
      <c r="AM165" s="713"/>
      <c r="AN165" s="713"/>
      <c r="AO165" s="713"/>
      <c r="AP165" s="714"/>
      <c r="AQ165" s="715"/>
      <c r="AR165" s="707"/>
      <c r="AS165" s="707"/>
    </row>
    <row r="166" spans="1:45" s="711" customFormat="1" ht="12.75" customHeight="1" x14ac:dyDescent="0.25">
      <c r="A166" s="710"/>
      <c r="D166" s="8" t="s">
        <v>496</v>
      </c>
      <c r="F166" s="11"/>
      <c r="G166" s="11"/>
      <c r="H166" s="11"/>
      <c r="I166" s="11"/>
      <c r="J166" s="1127" t="s">
        <v>614</v>
      </c>
      <c r="K166" s="1127"/>
      <c r="L166" s="1127"/>
      <c r="M166" s="1128"/>
      <c r="N166" s="2013">
        <v>0</v>
      </c>
      <c r="O166" s="2014"/>
      <c r="P166" s="2015">
        <v>0</v>
      </c>
      <c r="Q166" s="2016"/>
      <c r="R166" s="8"/>
      <c r="S166" s="8"/>
      <c r="T166" s="8"/>
      <c r="U166" s="8"/>
      <c r="V166" s="713"/>
      <c r="W166" s="713"/>
      <c r="X166" s="713"/>
      <c r="Y166" s="713"/>
      <c r="Z166" s="713"/>
      <c r="AA166" s="713"/>
      <c r="AB166" s="713"/>
      <c r="AC166" s="713"/>
      <c r="AD166" s="713"/>
      <c r="AE166" s="713"/>
      <c r="AF166" s="713"/>
      <c r="AG166" s="713"/>
      <c r="AH166" s="713"/>
      <c r="AI166" s="713"/>
      <c r="AJ166" s="713"/>
      <c r="AK166" s="713"/>
      <c r="AL166" s="713"/>
      <c r="AM166" s="713"/>
      <c r="AN166" s="713"/>
      <c r="AO166" s="713"/>
      <c r="AP166" s="714"/>
      <c r="AQ166" s="715"/>
      <c r="AR166" s="707"/>
      <c r="AS166" s="707"/>
    </row>
    <row r="167" spans="1:45" s="711" customFormat="1" ht="12.75" customHeight="1" x14ac:dyDescent="0.25">
      <c r="A167" s="710"/>
      <c r="B167" s="8"/>
      <c r="C167" s="8"/>
      <c r="D167" s="8"/>
      <c r="E167" s="8"/>
      <c r="F167" s="8"/>
      <c r="G167" s="8"/>
      <c r="H167" s="8"/>
      <c r="I167" s="11"/>
      <c r="J167" s="1128"/>
      <c r="K167" s="1128"/>
      <c r="L167" s="1128"/>
      <c r="M167" s="1128"/>
      <c r="N167" s="1128"/>
      <c r="O167" s="1128"/>
      <c r="P167" s="40"/>
      <c r="Q167" s="8"/>
      <c r="R167" s="8"/>
      <c r="S167" s="8"/>
      <c r="T167" s="8"/>
      <c r="U167" s="8"/>
      <c r="V167" s="713"/>
      <c r="W167" s="713"/>
      <c r="X167" s="713"/>
      <c r="Y167" s="713"/>
      <c r="Z167" s="713"/>
      <c r="AA167" s="713"/>
      <c r="AB167" s="713"/>
      <c r="AC167" s="713"/>
      <c r="AD167" s="713"/>
      <c r="AE167" s="713"/>
      <c r="AF167" s="713"/>
      <c r="AG167" s="713"/>
      <c r="AH167" s="713"/>
      <c r="AI167" s="713"/>
      <c r="AJ167" s="713"/>
      <c r="AK167" s="713"/>
      <c r="AL167" s="713"/>
      <c r="AM167" s="713"/>
      <c r="AN167" s="713"/>
      <c r="AO167" s="713"/>
      <c r="AP167" s="714"/>
      <c r="AQ167" s="715"/>
      <c r="AR167" s="707"/>
      <c r="AS167" s="707"/>
    </row>
    <row r="168" spans="1:45" s="711" customFormat="1" ht="12.75" customHeight="1" x14ac:dyDescent="0.25">
      <c r="A168" s="710"/>
      <c r="B168" s="8"/>
      <c r="C168" s="8"/>
      <c r="D168" s="8"/>
      <c r="E168" s="8"/>
      <c r="F168" s="8"/>
      <c r="G168" s="8"/>
      <c r="H168" s="8"/>
      <c r="I168" s="11"/>
      <c r="J168" s="1128"/>
      <c r="K168" s="1128"/>
      <c r="L168" s="1128"/>
      <c r="M168" s="1128"/>
      <c r="N168" s="1128"/>
      <c r="O168" s="1128"/>
      <c r="P168" s="40"/>
      <c r="Q168" s="8"/>
      <c r="R168" s="8"/>
      <c r="S168" s="8"/>
      <c r="T168" s="8"/>
      <c r="U168" s="8"/>
      <c r="V168" s="713"/>
      <c r="W168" s="713"/>
      <c r="X168" s="713"/>
      <c r="Y168" s="713"/>
      <c r="Z168" s="713"/>
      <c r="AA168" s="713"/>
      <c r="AB168" s="713"/>
      <c r="AC168" s="713"/>
      <c r="AD168" s="713"/>
      <c r="AE168" s="713"/>
      <c r="AF168" s="713"/>
      <c r="AG168" s="713"/>
      <c r="AH168" s="713"/>
      <c r="AI168" s="713"/>
      <c r="AJ168" s="713"/>
      <c r="AK168" s="713"/>
      <c r="AL168" s="713"/>
      <c r="AM168" s="713"/>
      <c r="AN168" s="713"/>
      <c r="AO168" s="713"/>
      <c r="AP168" s="714"/>
      <c r="AQ168" s="715"/>
      <c r="AR168" s="707"/>
      <c r="AS168" s="707"/>
    </row>
    <row r="169" spans="1:45" s="711" customFormat="1" ht="12.75" customHeight="1" x14ac:dyDescent="0.25">
      <c r="A169" s="710"/>
      <c r="B169" s="8"/>
      <c r="C169" s="8"/>
      <c r="D169" s="8"/>
      <c r="E169" s="8"/>
      <c r="F169" s="8"/>
      <c r="G169" s="8"/>
      <c r="H169" s="8"/>
      <c r="I169" s="8"/>
      <c r="J169" s="1128"/>
      <c r="K169" s="1128"/>
      <c r="L169" s="1128"/>
      <c r="M169" s="1128"/>
      <c r="N169" s="1583" t="s">
        <v>464</v>
      </c>
      <c r="O169" s="1584"/>
      <c r="P169" s="1584"/>
      <c r="Q169" s="1585"/>
      <c r="R169" s="8"/>
      <c r="S169" s="8"/>
      <c r="T169" s="8"/>
      <c r="U169" s="8"/>
      <c r="V169" s="713"/>
      <c r="W169" s="713"/>
      <c r="X169" s="713"/>
      <c r="Y169" s="713"/>
      <c r="Z169" s="713"/>
      <c r="AA169" s="713"/>
      <c r="AB169" s="713"/>
      <c r="AC169" s="713"/>
      <c r="AD169" s="713"/>
      <c r="AE169" s="713"/>
      <c r="AF169" s="713"/>
      <c r="AG169" s="713"/>
      <c r="AH169" s="713"/>
      <c r="AI169" s="713"/>
      <c r="AJ169" s="713"/>
      <c r="AK169" s="713"/>
      <c r="AL169" s="713"/>
      <c r="AM169" s="713"/>
      <c r="AN169" s="713"/>
      <c r="AO169" s="713"/>
      <c r="AP169" s="714"/>
      <c r="AQ169" s="715"/>
      <c r="AR169" s="707"/>
      <c r="AS169" s="707"/>
    </row>
    <row r="170" spans="1:45" s="711" customFormat="1" ht="12.75" customHeight="1" x14ac:dyDescent="0.25">
      <c r="A170" s="710"/>
      <c r="B170" s="8"/>
      <c r="C170" s="11"/>
      <c r="D170" s="11"/>
      <c r="E170" s="11"/>
      <c r="F170" s="11"/>
      <c r="G170" s="11"/>
      <c r="H170" s="11"/>
      <c r="I170" s="8"/>
      <c r="J170" s="1128"/>
      <c r="K170" s="1128"/>
      <c r="L170" s="1128"/>
      <c r="M170" s="1128"/>
      <c r="N170" s="1501" t="s">
        <v>200</v>
      </c>
      <c r="O170" s="1502"/>
      <c r="P170" s="1503" t="s">
        <v>201</v>
      </c>
      <c r="Q170" s="1504"/>
      <c r="R170" s="8"/>
      <c r="S170" s="8"/>
      <c r="T170" s="8"/>
      <c r="U170" s="8"/>
      <c r="V170" s="713"/>
      <c r="W170" s="713"/>
      <c r="X170" s="713"/>
      <c r="Y170" s="713"/>
      <c r="Z170" s="713"/>
      <c r="AA170" s="713"/>
      <c r="AB170" s="713"/>
      <c r="AC170" s="713"/>
      <c r="AD170" s="713"/>
      <c r="AE170" s="713"/>
      <c r="AF170" s="713"/>
      <c r="AG170" s="713"/>
      <c r="AH170" s="713"/>
      <c r="AI170" s="713"/>
      <c r="AJ170" s="713"/>
      <c r="AK170" s="713"/>
      <c r="AL170" s="713"/>
      <c r="AM170" s="713"/>
      <c r="AN170" s="713"/>
      <c r="AO170" s="713"/>
      <c r="AP170" s="714"/>
      <c r="AQ170" s="715"/>
      <c r="AR170" s="707"/>
      <c r="AS170" s="707"/>
    </row>
    <row r="171" spans="1:45" s="711" customFormat="1" ht="12.75" customHeight="1" x14ac:dyDescent="0.25">
      <c r="A171" s="710"/>
      <c r="B171" s="8"/>
      <c r="C171" s="11" t="s">
        <v>146</v>
      </c>
      <c r="D171" s="11"/>
      <c r="E171" s="11"/>
      <c r="F171" s="11"/>
      <c r="G171" s="11"/>
      <c r="H171" s="11"/>
      <c r="I171" s="8"/>
      <c r="J171" s="1128"/>
      <c r="K171" s="1128"/>
      <c r="L171" s="1128"/>
      <c r="M171" s="1128"/>
      <c r="N171" s="1644"/>
      <c r="O171" s="1645"/>
      <c r="P171" s="1640"/>
      <c r="Q171" s="1641"/>
      <c r="R171" s="8"/>
      <c r="S171" s="8"/>
      <c r="T171" s="8"/>
      <c r="U171" s="8"/>
      <c r="V171" s="713"/>
      <c r="W171" s="713"/>
      <c r="X171" s="713"/>
      <c r="Y171" s="713"/>
      <c r="Z171" s="713"/>
      <c r="AA171" s="713"/>
      <c r="AB171" s="713"/>
      <c r="AC171" s="713"/>
      <c r="AD171" s="713"/>
      <c r="AE171" s="713"/>
      <c r="AF171" s="713"/>
      <c r="AG171" s="713"/>
      <c r="AH171" s="713"/>
      <c r="AI171" s="713"/>
      <c r="AJ171" s="713"/>
      <c r="AK171" s="713"/>
      <c r="AL171" s="713"/>
      <c r="AM171" s="713"/>
      <c r="AN171" s="713"/>
      <c r="AO171" s="713"/>
      <c r="AP171" s="714"/>
      <c r="AQ171" s="715"/>
      <c r="AR171" s="707"/>
      <c r="AS171" s="707"/>
    </row>
    <row r="172" spans="1:45" s="711" customFormat="1" ht="12.75" customHeight="1" x14ac:dyDescent="0.25">
      <c r="A172" s="710"/>
      <c r="B172" s="8"/>
      <c r="C172" s="11"/>
      <c r="D172" s="11" t="s">
        <v>245</v>
      </c>
      <c r="E172" s="11"/>
      <c r="F172" s="11"/>
      <c r="G172" s="11"/>
      <c r="H172" s="11"/>
      <c r="I172" s="8"/>
      <c r="J172" s="1128"/>
      <c r="K172" s="1128"/>
      <c r="L172" s="1128"/>
      <c r="M172" s="1128"/>
      <c r="N172" s="1985">
        <v>0</v>
      </c>
      <c r="O172" s="1986"/>
      <c r="P172" s="1987">
        <v>0</v>
      </c>
      <c r="Q172" s="1988"/>
      <c r="R172" s="8"/>
      <c r="S172" s="8"/>
      <c r="T172" s="8"/>
      <c r="U172" s="8"/>
      <c r="V172" s="713"/>
      <c r="W172" s="713"/>
      <c r="X172" s="713"/>
      <c r="Y172" s="713"/>
      <c r="Z172" s="713"/>
      <c r="AA172" s="713"/>
      <c r="AB172" s="713"/>
      <c r="AC172" s="713"/>
      <c r="AD172" s="713"/>
      <c r="AE172" s="713"/>
      <c r="AF172" s="713"/>
      <c r="AG172" s="713"/>
      <c r="AH172" s="713"/>
      <c r="AI172" s="713"/>
      <c r="AJ172" s="713"/>
      <c r="AK172" s="713"/>
      <c r="AL172" s="713"/>
      <c r="AM172" s="713"/>
      <c r="AN172" s="713"/>
      <c r="AO172" s="713"/>
      <c r="AP172" s="714"/>
      <c r="AQ172" s="715"/>
      <c r="AR172" s="707"/>
      <c r="AS172" s="707"/>
    </row>
    <row r="173" spans="1:45" s="711" customFormat="1" ht="12.75" customHeight="1" x14ac:dyDescent="0.25">
      <c r="A173" s="710"/>
      <c r="B173" s="8"/>
      <c r="C173" s="8"/>
      <c r="D173" s="8" t="s">
        <v>471</v>
      </c>
      <c r="E173" s="8"/>
      <c r="F173" s="8"/>
      <c r="G173" s="8"/>
      <c r="H173" s="8"/>
      <c r="I173" s="8"/>
      <c r="J173" s="1127" t="s">
        <v>154</v>
      </c>
      <c r="K173" s="1127"/>
      <c r="L173" s="1127"/>
      <c r="M173" s="1127"/>
      <c r="N173" s="1995">
        <v>0</v>
      </c>
      <c r="O173" s="1996"/>
      <c r="P173" s="1993">
        <v>0</v>
      </c>
      <c r="Q173" s="1994"/>
      <c r="R173" s="8"/>
      <c r="S173" s="8"/>
      <c r="T173" s="8"/>
      <c r="U173" s="8"/>
      <c r="V173" s="713"/>
      <c r="W173" s="713"/>
      <c r="X173" s="713"/>
      <c r="Y173" s="713"/>
      <c r="Z173" s="713"/>
      <c r="AA173" s="713"/>
      <c r="AB173" s="713"/>
      <c r="AC173" s="713"/>
      <c r="AD173" s="713"/>
      <c r="AE173" s="713"/>
      <c r="AF173" s="713"/>
      <c r="AG173" s="713"/>
      <c r="AH173" s="713"/>
      <c r="AI173" s="713"/>
      <c r="AJ173" s="713"/>
      <c r="AK173" s="713"/>
      <c r="AL173" s="713"/>
      <c r="AM173" s="713"/>
      <c r="AN173" s="713"/>
      <c r="AO173" s="713"/>
      <c r="AP173" s="714"/>
      <c r="AQ173" s="715"/>
      <c r="AR173" s="707"/>
      <c r="AS173" s="707"/>
    </row>
    <row r="174" spans="1:45" s="711" customFormat="1" ht="12.75" customHeight="1" x14ac:dyDescent="0.25">
      <c r="A174" s="710"/>
      <c r="B174" s="8"/>
      <c r="C174" s="8"/>
      <c r="D174" s="1129" t="s">
        <v>533</v>
      </c>
      <c r="E174" s="8"/>
      <c r="F174" s="8"/>
      <c r="G174" s="8"/>
      <c r="H174" s="8"/>
      <c r="I174" s="8"/>
      <c r="J174" s="1127" t="s">
        <v>154</v>
      </c>
      <c r="K174" s="1127"/>
      <c r="L174" s="1127"/>
      <c r="M174" s="1127"/>
      <c r="N174" s="1995">
        <v>0</v>
      </c>
      <c r="O174" s="1996"/>
      <c r="P174" s="1993">
        <v>0</v>
      </c>
      <c r="Q174" s="1994"/>
      <c r="R174" s="8"/>
      <c r="S174" s="8"/>
      <c r="T174" s="8"/>
      <c r="U174" s="8"/>
      <c r="V174" s="713"/>
      <c r="W174" s="713"/>
      <c r="X174" s="713"/>
      <c r="Y174" s="713"/>
      <c r="Z174" s="713"/>
      <c r="AA174" s="713"/>
      <c r="AB174" s="713"/>
      <c r="AC174" s="713"/>
      <c r="AD174" s="713"/>
      <c r="AE174" s="713"/>
      <c r="AF174" s="713"/>
      <c r="AG174" s="713"/>
      <c r="AH174" s="713"/>
      <c r="AI174" s="713"/>
      <c r="AJ174" s="713"/>
      <c r="AK174" s="713"/>
      <c r="AL174" s="713"/>
      <c r="AM174" s="713"/>
      <c r="AN174" s="713"/>
      <c r="AO174" s="713"/>
      <c r="AP174" s="714"/>
      <c r="AQ174" s="715"/>
      <c r="AR174" s="707"/>
      <c r="AS174" s="707"/>
    </row>
    <row r="175" spans="1:45" s="711" customFormat="1" ht="12.75" customHeight="1" x14ac:dyDescent="0.25">
      <c r="A175" s="710"/>
      <c r="B175" s="8"/>
      <c r="C175" s="8"/>
      <c r="D175" s="8" t="s">
        <v>306</v>
      </c>
      <c r="E175" s="8"/>
      <c r="F175" s="8"/>
      <c r="G175" s="8"/>
      <c r="H175" s="8"/>
      <c r="I175" s="8"/>
      <c r="J175" s="1127" t="s">
        <v>154</v>
      </c>
      <c r="K175" s="1127"/>
      <c r="L175" s="1127"/>
      <c r="M175" s="1127"/>
      <c r="N175" s="1995">
        <v>0</v>
      </c>
      <c r="O175" s="1996"/>
      <c r="P175" s="1993">
        <v>0</v>
      </c>
      <c r="Q175" s="1994"/>
      <c r="R175" s="8"/>
      <c r="S175" s="8"/>
      <c r="T175" s="8"/>
      <c r="U175" s="8"/>
      <c r="V175" s="713"/>
      <c r="W175" s="713"/>
      <c r="X175" s="713"/>
      <c r="Y175" s="713"/>
      <c r="Z175" s="713"/>
      <c r="AA175" s="713"/>
      <c r="AB175" s="713"/>
      <c r="AC175" s="713"/>
      <c r="AD175" s="713"/>
      <c r="AE175" s="713"/>
      <c r="AF175" s="713"/>
      <c r="AG175" s="713"/>
      <c r="AH175" s="713"/>
      <c r="AI175" s="713"/>
      <c r="AJ175" s="713"/>
      <c r="AK175" s="713"/>
      <c r="AL175" s="713"/>
      <c r="AM175" s="713"/>
      <c r="AN175" s="713"/>
      <c r="AO175" s="713"/>
      <c r="AP175" s="714"/>
      <c r="AQ175" s="715"/>
      <c r="AR175" s="707"/>
      <c r="AS175" s="707"/>
    </row>
    <row r="176" spans="1:45" s="711" customFormat="1" ht="12.75" customHeight="1" x14ac:dyDescent="0.25">
      <c r="A176" s="710"/>
      <c r="B176" s="8"/>
      <c r="C176" s="8"/>
      <c r="D176" s="8" t="s">
        <v>305</v>
      </c>
      <c r="E176" s="8"/>
      <c r="F176" s="8"/>
      <c r="G176" s="8"/>
      <c r="H176" s="8"/>
      <c r="I176" s="8"/>
      <c r="J176" s="1127" t="s">
        <v>154</v>
      </c>
      <c r="K176" s="1127"/>
      <c r="L176" s="1127"/>
      <c r="M176" s="1127"/>
      <c r="N176" s="1995">
        <v>0</v>
      </c>
      <c r="O176" s="1996"/>
      <c r="P176" s="1993">
        <v>0</v>
      </c>
      <c r="Q176" s="1994"/>
      <c r="R176" s="8"/>
      <c r="S176" s="8"/>
      <c r="T176" s="8"/>
      <c r="U176" s="8"/>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4"/>
      <c r="AQ176" s="715"/>
      <c r="AR176" s="707"/>
      <c r="AS176" s="707"/>
    </row>
    <row r="177" spans="1:45" s="711" customFormat="1" ht="12.75" customHeight="1" x14ac:dyDescent="0.25">
      <c r="A177" s="710"/>
      <c r="B177" s="8"/>
      <c r="C177" s="8"/>
      <c r="D177" s="8"/>
      <c r="E177" s="8"/>
      <c r="F177" s="8"/>
      <c r="G177" s="8"/>
      <c r="H177" s="8"/>
      <c r="I177" s="8"/>
      <c r="J177" s="1127"/>
      <c r="K177" s="1127"/>
      <c r="L177" s="1127"/>
      <c r="M177" s="1127"/>
      <c r="N177" s="1413"/>
      <c r="O177" s="1414"/>
      <c r="P177" s="1415"/>
      <c r="Q177" s="1416"/>
      <c r="R177" s="8"/>
      <c r="S177" s="8"/>
      <c r="T177" s="8"/>
      <c r="U177" s="8"/>
      <c r="V177" s="713"/>
      <c r="W177" s="713"/>
      <c r="X177" s="713"/>
      <c r="Y177" s="713"/>
      <c r="Z177" s="713"/>
      <c r="AA177" s="713"/>
      <c r="AB177" s="713"/>
      <c r="AC177" s="713"/>
      <c r="AD177" s="713"/>
      <c r="AE177" s="713"/>
      <c r="AF177" s="713"/>
      <c r="AG177" s="713"/>
      <c r="AH177" s="713"/>
      <c r="AI177" s="713"/>
      <c r="AJ177" s="713"/>
      <c r="AK177" s="713"/>
      <c r="AL177" s="713"/>
      <c r="AM177" s="713"/>
      <c r="AN177" s="713"/>
      <c r="AO177" s="713"/>
      <c r="AP177" s="714"/>
      <c r="AQ177" s="715"/>
      <c r="AR177" s="707"/>
      <c r="AS177" s="707"/>
    </row>
    <row r="178" spans="1:45" s="711" customFormat="1" ht="12.75" customHeight="1" x14ac:dyDescent="0.25">
      <c r="A178" s="710"/>
      <c r="B178" s="8"/>
      <c r="C178" s="11" t="s">
        <v>147</v>
      </c>
      <c r="D178" s="8"/>
      <c r="E178" s="8"/>
      <c r="F178" s="8"/>
      <c r="G178" s="8"/>
      <c r="H178" s="8"/>
      <c r="I178" s="8"/>
      <c r="J178" s="1127"/>
      <c r="K178" s="1127"/>
      <c r="L178" s="1127"/>
      <c r="M178" s="1127"/>
      <c r="N178" s="1413"/>
      <c r="O178" s="1414"/>
      <c r="P178" s="1415"/>
      <c r="Q178" s="1416"/>
      <c r="R178" s="8"/>
      <c r="S178" s="8"/>
      <c r="T178" s="8"/>
      <c r="U178" s="8"/>
      <c r="V178" s="713"/>
      <c r="W178" s="713"/>
      <c r="X178" s="713"/>
      <c r="Y178" s="713"/>
      <c r="Z178" s="713"/>
      <c r="AA178" s="713"/>
      <c r="AB178" s="713"/>
      <c r="AC178" s="713"/>
      <c r="AD178" s="713"/>
      <c r="AE178" s="713"/>
      <c r="AF178" s="713"/>
      <c r="AG178" s="713"/>
      <c r="AH178" s="713"/>
      <c r="AI178" s="713"/>
      <c r="AJ178" s="713"/>
      <c r="AK178" s="713"/>
      <c r="AL178" s="713"/>
      <c r="AM178" s="713"/>
      <c r="AN178" s="713"/>
      <c r="AO178" s="713"/>
      <c r="AP178" s="714"/>
      <c r="AQ178" s="715"/>
      <c r="AR178" s="707"/>
      <c r="AS178" s="707"/>
    </row>
    <row r="179" spans="1:45" s="711" customFormat="1" ht="12.75" customHeight="1" x14ac:dyDescent="0.25">
      <c r="A179" s="710"/>
      <c r="B179" s="8"/>
      <c r="C179" s="8"/>
      <c r="D179" s="11" t="s">
        <v>245</v>
      </c>
      <c r="E179" s="11"/>
      <c r="F179" s="11"/>
      <c r="G179" s="11"/>
      <c r="H179" s="11"/>
      <c r="I179" s="8"/>
      <c r="J179" s="1128"/>
      <c r="K179" s="1128"/>
      <c r="L179" s="1128"/>
      <c r="M179" s="1128"/>
      <c r="N179" s="1995"/>
      <c r="O179" s="2019"/>
      <c r="P179" s="1987">
        <v>0</v>
      </c>
      <c r="Q179" s="1988"/>
      <c r="R179" s="8"/>
      <c r="S179" s="8"/>
      <c r="T179" s="8"/>
      <c r="U179" s="8"/>
      <c r="V179" s="713"/>
      <c r="W179" s="713"/>
      <c r="X179" s="713"/>
      <c r="Y179" s="713"/>
      <c r="Z179" s="713"/>
      <c r="AA179" s="713"/>
      <c r="AB179" s="713"/>
      <c r="AC179" s="713"/>
      <c r="AD179" s="713"/>
      <c r="AE179" s="713"/>
      <c r="AF179" s="713"/>
      <c r="AG179" s="713"/>
      <c r="AH179" s="713"/>
      <c r="AI179" s="713"/>
      <c r="AJ179" s="713"/>
      <c r="AK179" s="713"/>
      <c r="AL179" s="713"/>
      <c r="AM179" s="713"/>
      <c r="AN179" s="713"/>
      <c r="AO179" s="713"/>
      <c r="AP179" s="714"/>
      <c r="AQ179" s="715"/>
      <c r="AR179" s="707"/>
      <c r="AS179" s="707"/>
    </row>
    <row r="180" spans="1:45" s="711" customFormat="1" ht="12.75" customHeight="1" x14ac:dyDescent="0.25">
      <c r="A180" s="710"/>
      <c r="B180" s="8"/>
      <c r="C180" s="8"/>
      <c r="D180" s="8" t="s">
        <v>306</v>
      </c>
      <c r="E180" s="8"/>
      <c r="F180" s="8"/>
      <c r="G180" s="8"/>
      <c r="H180" s="8"/>
      <c r="I180" s="8"/>
      <c r="J180" s="1127" t="s">
        <v>154</v>
      </c>
      <c r="K180" s="1127"/>
      <c r="L180" s="1127"/>
      <c r="M180" s="1127"/>
      <c r="N180" s="1995">
        <v>0</v>
      </c>
      <c r="O180" s="1996"/>
      <c r="P180" s="1993">
        <v>0</v>
      </c>
      <c r="Q180" s="1994"/>
      <c r="R180" s="8"/>
      <c r="S180" s="8"/>
      <c r="T180" s="8"/>
      <c r="U180" s="8"/>
      <c r="V180" s="713"/>
      <c r="W180" s="713"/>
      <c r="X180" s="713"/>
      <c r="Y180" s="713"/>
      <c r="Z180" s="713"/>
      <c r="AA180" s="713"/>
      <c r="AB180" s="713"/>
      <c r="AC180" s="713"/>
      <c r="AD180" s="713"/>
      <c r="AE180" s="713"/>
      <c r="AF180" s="713"/>
      <c r="AG180" s="713"/>
      <c r="AH180" s="713"/>
      <c r="AI180" s="713"/>
      <c r="AJ180" s="713"/>
      <c r="AK180" s="713"/>
      <c r="AL180" s="713"/>
      <c r="AM180" s="713"/>
      <c r="AN180" s="713"/>
      <c r="AO180" s="713"/>
      <c r="AP180" s="714"/>
      <c r="AQ180" s="715"/>
      <c r="AR180" s="707"/>
      <c r="AS180" s="707"/>
    </row>
    <row r="181" spans="1:45" s="711" customFormat="1" ht="12.75" customHeight="1" x14ac:dyDescent="0.25">
      <c r="A181" s="710"/>
      <c r="B181" s="8"/>
      <c r="C181" s="8"/>
      <c r="D181" s="8" t="s">
        <v>305</v>
      </c>
      <c r="E181" s="8"/>
      <c r="F181" s="8"/>
      <c r="G181" s="8"/>
      <c r="H181" s="8"/>
      <c r="I181" s="8"/>
      <c r="J181" s="1127" t="s">
        <v>154</v>
      </c>
      <c r="K181" s="1127"/>
      <c r="L181" s="1127"/>
      <c r="M181" s="1127"/>
      <c r="N181" s="1995">
        <v>0</v>
      </c>
      <c r="O181" s="1996"/>
      <c r="P181" s="1993">
        <v>0</v>
      </c>
      <c r="Q181" s="1994"/>
      <c r="R181" s="8"/>
      <c r="S181" s="8"/>
      <c r="T181" s="8"/>
      <c r="U181" s="8"/>
      <c r="V181" s="713"/>
      <c r="W181" s="713"/>
      <c r="X181" s="713"/>
      <c r="Y181" s="713"/>
      <c r="Z181" s="713"/>
      <c r="AA181" s="713"/>
      <c r="AB181" s="713"/>
      <c r="AC181" s="713"/>
      <c r="AD181" s="713"/>
      <c r="AE181" s="713"/>
      <c r="AF181" s="713"/>
      <c r="AG181" s="713"/>
      <c r="AH181" s="713"/>
      <c r="AI181" s="713"/>
      <c r="AJ181" s="713"/>
      <c r="AK181" s="713"/>
      <c r="AL181" s="713"/>
      <c r="AM181" s="713"/>
      <c r="AN181" s="713"/>
      <c r="AO181" s="713"/>
      <c r="AP181" s="714"/>
      <c r="AQ181" s="715"/>
      <c r="AR181" s="707"/>
      <c r="AS181" s="707"/>
    </row>
    <row r="182" spans="1:45" s="711" customFormat="1" ht="12.75" customHeight="1" x14ac:dyDescent="0.25">
      <c r="A182" s="710"/>
      <c r="B182" s="8"/>
      <c r="C182" s="8"/>
      <c r="D182" s="1634" t="s">
        <v>534</v>
      </c>
      <c r="E182" s="1634"/>
      <c r="F182" s="1634"/>
      <c r="G182" s="1634"/>
      <c r="H182" s="1634"/>
      <c r="I182" s="1634"/>
      <c r="J182" s="1127" t="s">
        <v>154</v>
      </c>
      <c r="K182" s="1127"/>
      <c r="L182" s="1127"/>
      <c r="M182" s="1127"/>
      <c r="N182" s="1995">
        <v>0</v>
      </c>
      <c r="O182" s="1996"/>
      <c r="P182" s="1993">
        <v>0</v>
      </c>
      <c r="Q182" s="1994"/>
      <c r="R182" s="29"/>
      <c r="S182" s="8"/>
      <c r="T182" s="8"/>
      <c r="U182" s="8"/>
      <c r="V182" s="713"/>
      <c r="W182" s="713"/>
      <c r="X182" s="713"/>
      <c r="Y182" s="713"/>
      <c r="Z182" s="713"/>
      <c r="AA182" s="713"/>
      <c r="AB182" s="713"/>
      <c r="AC182" s="713"/>
      <c r="AD182" s="713"/>
      <c r="AE182" s="713"/>
      <c r="AF182" s="713"/>
      <c r="AG182" s="713"/>
      <c r="AH182" s="713"/>
      <c r="AI182" s="713"/>
      <c r="AJ182" s="713"/>
      <c r="AK182" s="713"/>
      <c r="AL182" s="713"/>
      <c r="AM182" s="713"/>
      <c r="AN182" s="713"/>
      <c r="AO182" s="713"/>
      <c r="AP182" s="714"/>
      <c r="AQ182" s="715"/>
      <c r="AR182" s="707"/>
      <c r="AS182" s="707"/>
    </row>
    <row r="183" spans="1:45" s="711" customFormat="1" ht="12.75" customHeight="1" x14ac:dyDescent="0.25">
      <c r="A183" s="710"/>
      <c r="B183" s="8"/>
      <c r="C183" s="8"/>
      <c r="D183" s="1634" t="s">
        <v>535</v>
      </c>
      <c r="E183" s="1634"/>
      <c r="F183" s="1634"/>
      <c r="G183" s="1634"/>
      <c r="H183" s="1634"/>
      <c r="I183" s="1634"/>
      <c r="J183" s="1127" t="s">
        <v>154</v>
      </c>
      <c r="K183" s="1127"/>
      <c r="L183" s="1127"/>
      <c r="M183" s="1127"/>
      <c r="N183" s="1995"/>
      <c r="O183" s="1996"/>
      <c r="P183" s="1993">
        <v>0</v>
      </c>
      <c r="Q183" s="1994"/>
      <c r="R183" s="8"/>
      <c r="S183" s="8"/>
      <c r="T183" s="8"/>
      <c r="U183" s="8"/>
      <c r="V183" s="713"/>
      <c r="W183" s="713"/>
      <c r="X183" s="713"/>
      <c r="Y183" s="713"/>
      <c r="Z183" s="713"/>
      <c r="AA183" s="713"/>
      <c r="AB183" s="713"/>
      <c r="AC183" s="713"/>
      <c r="AD183" s="713"/>
      <c r="AE183" s="713"/>
      <c r="AF183" s="713"/>
      <c r="AG183" s="713"/>
      <c r="AH183" s="713"/>
      <c r="AI183" s="713"/>
      <c r="AJ183" s="713"/>
      <c r="AK183" s="713"/>
      <c r="AL183" s="713"/>
      <c r="AM183" s="713"/>
      <c r="AN183" s="713"/>
      <c r="AO183" s="713"/>
      <c r="AP183" s="714"/>
      <c r="AQ183" s="715"/>
      <c r="AR183" s="707"/>
      <c r="AS183" s="707"/>
    </row>
    <row r="184" spans="1:45" s="711" customFormat="1" ht="12.75" customHeight="1" x14ac:dyDescent="0.25">
      <c r="A184" s="710"/>
      <c r="B184" s="8"/>
      <c r="C184" s="8"/>
      <c r="D184" s="8"/>
      <c r="E184" s="8"/>
      <c r="F184" s="8"/>
      <c r="G184" s="8"/>
      <c r="H184" s="8"/>
      <c r="I184" s="8"/>
      <c r="J184" s="1127"/>
      <c r="K184" s="1127"/>
      <c r="L184" s="1127"/>
      <c r="M184" s="1127"/>
      <c r="N184" s="1413"/>
      <c r="O184" s="1414"/>
      <c r="P184" s="1415"/>
      <c r="Q184" s="1416"/>
      <c r="R184" s="8"/>
      <c r="S184" s="8"/>
      <c r="T184" s="8"/>
      <c r="U184" s="8"/>
      <c r="V184" s="713"/>
      <c r="W184" s="713"/>
      <c r="X184" s="713"/>
      <c r="Y184" s="713"/>
      <c r="Z184" s="713"/>
      <c r="AA184" s="713"/>
      <c r="AB184" s="713"/>
      <c r="AC184" s="713"/>
      <c r="AD184" s="713"/>
      <c r="AE184" s="713"/>
      <c r="AF184" s="713"/>
      <c r="AG184" s="713"/>
      <c r="AH184" s="713"/>
      <c r="AI184" s="713"/>
      <c r="AJ184" s="713"/>
      <c r="AK184" s="713"/>
      <c r="AL184" s="713"/>
      <c r="AM184" s="713"/>
      <c r="AN184" s="713"/>
      <c r="AO184" s="713"/>
      <c r="AP184" s="714"/>
      <c r="AQ184" s="715"/>
      <c r="AR184" s="707"/>
      <c r="AS184" s="707"/>
    </row>
    <row r="185" spans="1:45" s="711" customFormat="1" ht="12.75" customHeight="1" x14ac:dyDescent="0.25">
      <c r="A185" s="710"/>
      <c r="B185" s="8"/>
      <c r="C185" s="11" t="s">
        <v>186</v>
      </c>
      <c r="D185" s="11"/>
      <c r="E185" s="11"/>
      <c r="F185" s="11"/>
      <c r="G185" s="11"/>
      <c r="H185" s="11"/>
      <c r="I185" s="8"/>
      <c r="J185" s="747"/>
      <c r="K185" s="747"/>
      <c r="L185" s="747"/>
      <c r="M185" s="747"/>
      <c r="N185" s="1989"/>
      <c r="O185" s="1990"/>
      <c r="P185" s="1991"/>
      <c r="Q185" s="1992"/>
      <c r="R185" s="8"/>
      <c r="S185" s="8"/>
      <c r="T185" s="8"/>
      <c r="U185" s="8"/>
      <c r="V185" s="713"/>
      <c r="W185" s="713"/>
      <c r="X185" s="713"/>
      <c r="Y185" s="713"/>
      <c r="Z185" s="713"/>
      <c r="AA185" s="713"/>
      <c r="AB185" s="713"/>
      <c r="AC185" s="713"/>
      <c r="AD185" s="713"/>
      <c r="AE185" s="713"/>
      <c r="AF185" s="713"/>
      <c r="AG185" s="713"/>
      <c r="AH185" s="713"/>
      <c r="AI185" s="713"/>
      <c r="AJ185" s="713"/>
      <c r="AK185" s="713"/>
      <c r="AL185" s="713"/>
      <c r="AM185" s="713"/>
      <c r="AN185" s="713"/>
      <c r="AO185" s="713"/>
      <c r="AP185" s="714"/>
      <c r="AQ185" s="715"/>
      <c r="AR185" s="707"/>
      <c r="AS185" s="707"/>
    </row>
    <row r="186" spans="1:45" s="711" customFormat="1" ht="12.75" customHeight="1" x14ac:dyDescent="0.25">
      <c r="A186" s="710"/>
      <c r="B186" s="8"/>
      <c r="C186" s="8"/>
      <c r="D186" s="8" t="s">
        <v>472</v>
      </c>
      <c r="E186" s="8"/>
      <c r="F186" s="8"/>
      <c r="G186" s="8"/>
      <c r="H186" s="8"/>
      <c r="I186" s="8"/>
      <c r="J186" s="1127" t="s">
        <v>614</v>
      </c>
      <c r="K186" s="1127"/>
      <c r="L186" s="1127"/>
      <c r="M186" s="1127"/>
      <c r="N186" s="2001">
        <v>0</v>
      </c>
      <c r="O186" s="2002"/>
      <c r="P186" s="2003">
        <v>0</v>
      </c>
      <c r="Q186" s="2004"/>
      <c r="R186" s="8"/>
      <c r="S186" s="8"/>
      <c r="T186" s="8"/>
      <c r="U186" s="8"/>
      <c r="V186" s="713"/>
      <c r="W186" s="713"/>
      <c r="X186" s="713"/>
      <c r="Y186" s="713"/>
      <c r="Z186" s="713"/>
      <c r="AA186" s="713"/>
      <c r="AB186" s="713"/>
      <c r="AC186" s="713"/>
      <c r="AD186" s="713"/>
      <c r="AE186" s="713"/>
      <c r="AF186" s="713"/>
      <c r="AG186" s="713"/>
      <c r="AH186" s="713"/>
      <c r="AI186" s="713"/>
      <c r="AJ186" s="713"/>
      <c r="AK186" s="713"/>
      <c r="AL186" s="713"/>
      <c r="AM186" s="713"/>
      <c r="AN186" s="713"/>
      <c r="AO186" s="713"/>
      <c r="AP186" s="714"/>
      <c r="AQ186" s="715"/>
      <c r="AR186" s="707"/>
      <c r="AS186" s="707"/>
    </row>
    <row r="187" spans="1:45" s="711" customFormat="1" ht="12.75" customHeight="1" x14ac:dyDescent="0.25">
      <c r="A187" s="710"/>
      <c r="B187" s="8"/>
      <c r="C187" s="8"/>
      <c r="D187" s="8" t="s">
        <v>473</v>
      </c>
      <c r="E187" s="8"/>
      <c r="F187" s="8"/>
      <c r="G187" s="8"/>
      <c r="H187" s="8"/>
      <c r="I187" s="8"/>
      <c r="J187" s="1127" t="s">
        <v>16</v>
      </c>
      <c r="K187" s="1127"/>
      <c r="L187" s="1127"/>
      <c r="M187" s="1127"/>
      <c r="N187" s="1417"/>
      <c r="O187" s="1414"/>
      <c r="P187" s="2017">
        <v>0</v>
      </c>
      <c r="Q187" s="2018"/>
      <c r="R187" s="8"/>
      <c r="S187" s="8"/>
      <c r="T187" s="8"/>
      <c r="U187" s="8"/>
      <c r="V187" s="713"/>
      <c r="W187" s="713"/>
      <c r="X187" s="713"/>
      <c r="Y187" s="713"/>
      <c r="Z187" s="713"/>
      <c r="AA187" s="713"/>
      <c r="AB187" s="713"/>
      <c r="AC187" s="713"/>
      <c r="AD187" s="713"/>
      <c r="AE187" s="713"/>
      <c r="AF187" s="713"/>
      <c r="AG187" s="713"/>
      <c r="AH187" s="713"/>
      <c r="AI187" s="713"/>
      <c r="AJ187" s="713"/>
      <c r="AK187" s="713"/>
      <c r="AL187" s="713"/>
      <c r="AM187" s="713"/>
      <c r="AN187" s="713"/>
      <c r="AO187" s="713"/>
      <c r="AP187" s="714"/>
      <c r="AQ187" s="715"/>
      <c r="AR187" s="707"/>
      <c r="AS187" s="707"/>
    </row>
    <row r="188" spans="1:45" s="711" customFormat="1" ht="12.75" customHeight="1" x14ac:dyDescent="0.25">
      <c r="A188" s="710"/>
      <c r="B188" s="8"/>
      <c r="C188" s="8"/>
      <c r="D188" s="8" t="s">
        <v>276</v>
      </c>
      <c r="E188" s="8"/>
      <c r="F188" s="8"/>
      <c r="G188" s="8"/>
      <c r="H188" s="8"/>
      <c r="I188" s="8"/>
      <c r="J188" s="1127" t="s">
        <v>614</v>
      </c>
      <c r="K188" s="1127"/>
      <c r="L188" s="1127"/>
      <c r="M188" s="1127"/>
      <c r="N188" s="2001">
        <v>0</v>
      </c>
      <c r="O188" s="2002"/>
      <c r="P188" s="2003">
        <v>0</v>
      </c>
      <c r="Q188" s="2004"/>
      <c r="R188" s="8"/>
      <c r="S188" s="8"/>
      <c r="T188" s="8"/>
      <c r="U188" s="8"/>
      <c r="V188" s="713"/>
      <c r="W188" s="713"/>
      <c r="X188" s="713"/>
      <c r="Y188" s="713"/>
      <c r="Z188" s="713"/>
      <c r="AA188" s="713"/>
      <c r="AB188" s="713"/>
      <c r="AC188" s="713"/>
      <c r="AD188" s="713"/>
      <c r="AE188" s="713"/>
      <c r="AF188" s="713"/>
      <c r="AG188" s="713"/>
      <c r="AH188" s="713"/>
      <c r="AI188" s="713"/>
      <c r="AJ188" s="713"/>
      <c r="AK188" s="713"/>
      <c r="AL188" s="713"/>
      <c r="AM188" s="713"/>
      <c r="AN188" s="713"/>
      <c r="AO188" s="713"/>
      <c r="AP188" s="714"/>
      <c r="AQ188" s="715"/>
      <c r="AR188" s="707"/>
      <c r="AS188" s="707"/>
    </row>
    <row r="189" spans="1:45" s="711" customFormat="1" ht="12.75" customHeight="1" x14ac:dyDescent="0.25">
      <c r="A189" s="710"/>
      <c r="B189" s="8"/>
      <c r="C189" s="8"/>
      <c r="D189" s="8" t="s">
        <v>307</v>
      </c>
      <c r="E189" s="8"/>
      <c r="F189" s="8"/>
      <c r="G189" s="8"/>
      <c r="H189" s="8"/>
      <c r="I189" s="8"/>
      <c r="J189" s="1127" t="s">
        <v>614</v>
      </c>
      <c r="K189" s="1127"/>
      <c r="L189" s="1127"/>
      <c r="M189" s="1127"/>
      <c r="N189" s="2001">
        <v>0</v>
      </c>
      <c r="O189" s="2002"/>
      <c r="P189" s="2003">
        <v>0</v>
      </c>
      <c r="Q189" s="2004"/>
      <c r="R189" s="8"/>
      <c r="S189" s="8"/>
      <c r="T189" s="8"/>
      <c r="U189" s="8"/>
      <c r="V189" s="713"/>
      <c r="W189" s="713"/>
      <c r="X189" s="713"/>
      <c r="Y189" s="713"/>
      <c r="Z189" s="713"/>
      <c r="AA189" s="713"/>
      <c r="AB189" s="713"/>
      <c r="AC189" s="713"/>
      <c r="AD189" s="713"/>
      <c r="AE189" s="713"/>
      <c r="AF189" s="713"/>
      <c r="AG189" s="713"/>
      <c r="AH189" s="713"/>
      <c r="AI189" s="713"/>
      <c r="AJ189" s="713"/>
      <c r="AK189" s="713"/>
      <c r="AL189" s="713"/>
      <c r="AM189" s="713"/>
      <c r="AN189" s="713"/>
      <c r="AO189" s="713"/>
      <c r="AP189" s="714"/>
      <c r="AQ189" s="715"/>
      <c r="AR189" s="707"/>
      <c r="AS189" s="707"/>
    </row>
    <row r="190" spans="1:45" s="711" customFormat="1" ht="12.75" customHeight="1" x14ac:dyDescent="0.25">
      <c r="A190" s="710"/>
      <c r="B190" s="8"/>
      <c r="C190" s="8"/>
      <c r="D190" s="8"/>
      <c r="E190" s="8"/>
      <c r="F190" s="8"/>
      <c r="G190" s="8"/>
      <c r="H190" s="8"/>
      <c r="I190" s="8"/>
      <c r="J190" s="1127"/>
      <c r="K190" s="1127"/>
      <c r="L190" s="1127"/>
      <c r="M190" s="1127"/>
      <c r="N190" s="1417"/>
      <c r="O190" s="1418"/>
      <c r="P190" s="1419"/>
      <c r="Q190" s="1420"/>
      <c r="R190" s="8"/>
      <c r="S190" s="8"/>
      <c r="T190" s="8"/>
      <c r="U190" s="8"/>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4"/>
      <c r="AQ190" s="715"/>
      <c r="AR190" s="707"/>
      <c r="AS190" s="707"/>
    </row>
    <row r="191" spans="1:45" s="711" customFormat="1" ht="12.75" customHeight="1" x14ac:dyDescent="0.25">
      <c r="A191" s="710"/>
      <c r="B191" s="8"/>
      <c r="C191" s="11" t="s">
        <v>148</v>
      </c>
      <c r="D191" s="11"/>
      <c r="E191" s="11"/>
      <c r="F191" s="11"/>
      <c r="G191" s="11"/>
      <c r="H191" s="11"/>
      <c r="I191" s="8"/>
      <c r="J191" s="747"/>
      <c r="K191" s="747"/>
      <c r="L191" s="747"/>
      <c r="M191" s="747"/>
      <c r="N191" s="1989"/>
      <c r="O191" s="1990"/>
      <c r="P191" s="1991"/>
      <c r="Q191" s="1992"/>
      <c r="R191" s="8"/>
      <c r="S191" s="8"/>
      <c r="T191" s="8"/>
      <c r="U191" s="8"/>
      <c r="V191" s="713"/>
      <c r="W191" s="713"/>
      <c r="X191" s="713"/>
      <c r="Y191" s="713"/>
      <c r="Z191" s="713"/>
      <c r="AA191" s="713"/>
      <c r="AB191" s="713"/>
      <c r="AC191" s="713"/>
      <c r="AD191" s="713"/>
      <c r="AE191" s="713"/>
      <c r="AF191" s="713"/>
      <c r="AG191" s="713"/>
      <c r="AH191" s="713"/>
      <c r="AI191" s="713"/>
      <c r="AJ191" s="713"/>
      <c r="AK191" s="713"/>
      <c r="AL191" s="713"/>
      <c r="AM191" s="713"/>
      <c r="AN191" s="713"/>
      <c r="AO191" s="713"/>
      <c r="AP191" s="714"/>
      <c r="AQ191" s="715"/>
      <c r="AR191" s="707"/>
      <c r="AS191" s="707"/>
    </row>
    <row r="192" spans="1:45" s="711" customFormat="1" ht="12.75" customHeight="1" x14ac:dyDescent="0.25">
      <c r="A192" s="710"/>
      <c r="B192" s="8"/>
      <c r="C192" s="8"/>
      <c r="D192" s="8"/>
      <c r="E192" s="1411" t="s">
        <v>629</v>
      </c>
      <c r="F192" s="8"/>
      <c r="G192" s="8"/>
      <c r="H192" s="8"/>
      <c r="I192" s="8"/>
      <c r="J192" s="1409" t="s">
        <v>617</v>
      </c>
      <c r="K192" s="1409"/>
      <c r="L192" s="1409"/>
      <c r="M192" s="1409"/>
      <c r="N192" s="1967">
        <v>0</v>
      </c>
      <c r="O192" s="1968"/>
      <c r="P192" s="1969">
        <v>0</v>
      </c>
      <c r="Q192" s="1970"/>
      <c r="R192" s="8"/>
      <c r="S192" s="8"/>
      <c r="T192" s="8"/>
      <c r="U192" s="8"/>
      <c r="V192" s="713"/>
      <c r="W192" s="713"/>
      <c r="X192" s="713"/>
      <c r="Y192" s="713"/>
      <c r="Z192" s="713"/>
      <c r="AA192" s="713"/>
      <c r="AB192" s="713"/>
      <c r="AC192" s="713"/>
      <c r="AD192" s="713"/>
      <c r="AE192" s="713"/>
      <c r="AF192" s="713"/>
      <c r="AG192" s="713"/>
      <c r="AH192" s="713"/>
      <c r="AI192" s="713"/>
      <c r="AJ192" s="713"/>
      <c r="AK192" s="713"/>
      <c r="AL192" s="713"/>
      <c r="AM192" s="713"/>
      <c r="AN192" s="713"/>
      <c r="AO192" s="713"/>
      <c r="AP192" s="714"/>
      <c r="AQ192" s="715"/>
      <c r="AR192" s="707"/>
      <c r="AS192" s="707"/>
    </row>
    <row r="193" spans="1:45" s="711" customFormat="1" ht="12.75" customHeight="1" x14ac:dyDescent="0.25">
      <c r="A193" s="710"/>
      <c r="B193" s="8"/>
      <c r="C193" s="8"/>
      <c r="D193" s="8"/>
      <c r="E193" s="1411" t="s">
        <v>630</v>
      </c>
      <c r="F193" s="8"/>
      <c r="G193" s="8"/>
      <c r="H193" s="8"/>
      <c r="I193" s="8"/>
      <c r="J193" s="1409" t="s">
        <v>617</v>
      </c>
      <c r="K193" s="1409"/>
      <c r="L193" s="1409"/>
      <c r="M193" s="1409"/>
      <c r="N193" s="1967">
        <v>0</v>
      </c>
      <c r="O193" s="1968"/>
      <c r="P193" s="1969">
        <v>0</v>
      </c>
      <c r="Q193" s="1970"/>
      <c r="R193" s="8"/>
      <c r="S193" s="8"/>
      <c r="T193" s="8"/>
      <c r="U193" s="8"/>
      <c r="V193" s="713"/>
      <c r="W193" s="713"/>
      <c r="X193" s="713"/>
      <c r="Y193" s="713"/>
      <c r="Z193" s="713"/>
      <c r="AA193" s="713"/>
      <c r="AB193" s="713"/>
      <c r="AC193" s="713"/>
      <c r="AD193" s="713"/>
      <c r="AE193" s="713"/>
      <c r="AF193" s="713"/>
      <c r="AG193" s="713"/>
      <c r="AH193" s="713"/>
      <c r="AI193" s="713"/>
      <c r="AJ193" s="713"/>
      <c r="AK193" s="713"/>
      <c r="AL193" s="713"/>
      <c r="AM193" s="713"/>
      <c r="AN193" s="713"/>
      <c r="AO193" s="713"/>
      <c r="AP193" s="714"/>
      <c r="AQ193" s="715"/>
      <c r="AR193" s="707"/>
      <c r="AS193" s="707"/>
    </row>
    <row r="194" spans="1:45" s="711" customFormat="1" ht="12.75" customHeight="1" x14ac:dyDescent="0.25">
      <c r="A194" s="710"/>
      <c r="B194" s="8"/>
      <c r="C194" s="8"/>
      <c r="D194" s="8"/>
      <c r="E194" s="1411" t="s">
        <v>631</v>
      </c>
      <c r="F194" s="8"/>
      <c r="G194" s="8"/>
      <c r="H194" s="8"/>
      <c r="I194" s="8"/>
      <c r="J194" s="1409" t="s">
        <v>617</v>
      </c>
      <c r="K194" s="1409"/>
      <c r="L194" s="1409"/>
      <c r="M194" s="1409"/>
      <c r="N194" s="1967">
        <v>0</v>
      </c>
      <c r="O194" s="1968"/>
      <c r="P194" s="1969">
        <v>0</v>
      </c>
      <c r="Q194" s="1970"/>
      <c r="R194" s="8"/>
      <c r="S194" s="8"/>
      <c r="T194" s="8"/>
      <c r="U194" s="8"/>
      <c r="V194" s="713"/>
      <c r="W194" s="713"/>
      <c r="X194" s="713"/>
      <c r="Y194" s="713"/>
      <c r="Z194" s="713"/>
      <c r="AA194" s="713"/>
      <c r="AB194" s="713"/>
      <c r="AC194" s="713"/>
      <c r="AD194" s="713"/>
      <c r="AE194" s="713"/>
      <c r="AF194" s="713"/>
      <c r="AG194" s="713"/>
      <c r="AH194" s="713"/>
      <c r="AI194" s="713"/>
      <c r="AJ194" s="713"/>
      <c r="AK194" s="713"/>
      <c r="AL194" s="713"/>
      <c r="AM194" s="713"/>
      <c r="AN194" s="713"/>
      <c r="AO194" s="713"/>
      <c r="AP194" s="714"/>
      <c r="AQ194" s="715"/>
      <c r="AR194" s="707"/>
      <c r="AS194" s="707"/>
    </row>
    <row r="195" spans="1:45" s="711" customFormat="1" ht="12.75" customHeight="1" x14ac:dyDescent="0.25">
      <c r="A195" s="710"/>
      <c r="B195" s="11"/>
      <c r="C195" s="11"/>
      <c r="D195" s="11" t="s">
        <v>632</v>
      </c>
      <c r="E195" s="11"/>
      <c r="F195" s="11"/>
      <c r="G195" s="11"/>
      <c r="H195" s="11"/>
      <c r="I195" s="11"/>
      <c r="J195" s="1410" t="s">
        <v>617</v>
      </c>
      <c r="K195" s="1410"/>
      <c r="L195" s="1410"/>
      <c r="M195" s="1410"/>
      <c r="N195" s="1971">
        <v>0</v>
      </c>
      <c r="O195" s="1972"/>
      <c r="P195" s="1973">
        <v>0</v>
      </c>
      <c r="Q195" s="1974"/>
      <c r="R195" s="11"/>
      <c r="S195" s="11"/>
      <c r="T195" s="11"/>
      <c r="U195" s="11"/>
      <c r="V195" s="714"/>
      <c r="W195" s="714"/>
      <c r="X195" s="714"/>
      <c r="Y195" s="714"/>
      <c r="Z195" s="714"/>
      <c r="AA195" s="714"/>
      <c r="AB195" s="714"/>
      <c r="AC195" s="714"/>
      <c r="AD195" s="714"/>
      <c r="AE195" s="714"/>
      <c r="AF195" s="714"/>
      <c r="AG195" s="714"/>
      <c r="AH195" s="714"/>
      <c r="AI195" s="714"/>
      <c r="AJ195" s="714"/>
      <c r="AK195" s="714"/>
      <c r="AL195" s="714"/>
      <c r="AM195" s="714"/>
      <c r="AN195" s="714"/>
      <c r="AO195" s="714"/>
      <c r="AP195" s="714"/>
      <c r="AQ195" s="1412"/>
    </row>
    <row r="196" spans="1:45" s="711" customFormat="1" ht="12.75" customHeight="1" x14ac:dyDescent="0.25">
      <c r="A196" s="710"/>
      <c r="B196" s="8"/>
      <c r="C196" s="8"/>
      <c r="D196" s="8" t="s">
        <v>628</v>
      </c>
      <c r="E196" s="8"/>
      <c r="F196" s="8"/>
      <c r="G196" s="8"/>
      <c r="H196" s="8"/>
      <c r="I196" s="8"/>
      <c r="J196" s="1409" t="s">
        <v>16</v>
      </c>
      <c r="K196" s="1409"/>
      <c r="L196" s="1409"/>
      <c r="M196" s="1409"/>
      <c r="N196" s="1421"/>
      <c r="O196" s="1422"/>
      <c r="P196" s="2024">
        <v>0</v>
      </c>
      <c r="Q196" s="2025"/>
      <c r="R196" s="8"/>
      <c r="S196" s="8"/>
      <c r="T196" s="8"/>
      <c r="U196" s="8"/>
      <c r="V196" s="713"/>
      <c r="W196" s="713"/>
      <c r="X196" s="713"/>
      <c r="Y196" s="713"/>
      <c r="Z196" s="713"/>
      <c r="AA196" s="713"/>
      <c r="AB196" s="713"/>
      <c r="AC196" s="713"/>
      <c r="AD196" s="713"/>
      <c r="AE196" s="713"/>
      <c r="AF196" s="713"/>
      <c r="AG196" s="713"/>
      <c r="AH196" s="713"/>
      <c r="AI196" s="713"/>
      <c r="AJ196" s="713"/>
      <c r="AK196" s="713"/>
      <c r="AL196" s="713"/>
      <c r="AM196" s="713"/>
      <c r="AN196" s="713"/>
      <c r="AO196" s="713"/>
      <c r="AP196" s="714"/>
      <c r="AQ196" s="715"/>
      <c r="AR196" s="707"/>
      <c r="AS196" s="707"/>
    </row>
    <row r="197" spans="1:45" s="711" customFormat="1" ht="12.75" customHeight="1" x14ac:dyDescent="0.25">
      <c r="A197" s="710"/>
      <c r="B197" s="8"/>
      <c r="C197" s="8"/>
      <c r="D197" s="1634" t="s">
        <v>536</v>
      </c>
      <c r="E197" s="1634"/>
      <c r="F197" s="1634"/>
      <c r="G197" s="1634"/>
      <c r="H197" s="1634"/>
      <c r="I197" s="1634"/>
      <c r="J197" s="1127" t="s">
        <v>366</v>
      </c>
      <c r="K197" s="1127"/>
      <c r="L197" s="1127"/>
      <c r="M197" s="1127"/>
      <c r="N197" s="2020">
        <v>0</v>
      </c>
      <c r="O197" s="2021"/>
      <c r="P197" s="2022">
        <v>0</v>
      </c>
      <c r="Q197" s="2023"/>
      <c r="R197" s="8"/>
      <c r="S197" s="8"/>
      <c r="T197" s="8"/>
      <c r="U197" s="8"/>
      <c r="V197" s="713"/>
      <c r="W197" s="713"/>
      <c r="X197" s="713"/>
      <c r="Y197" s="713"/>
      <c r="Z197" s="713"/>
      <c r="AA197" s="713"/>
      <c r="AB197" s="713"/>
      <c r="AC197" s="713"/>
      <c r="AD197" s="713"/>
      <c r="AE197" s="713"/>
      <c r="AF197" s="713"/>
      <c r="AG197" s="713"/>
      <c r="AH197" s="713"/>
      <c r="AI197" s="713"/>
      <c r="AJ197" s="713"/>
      <c r="AK197" s="713"/>
      <c r="AL197" s="713"/>
      <c r="AM197" s="713"/>
      <c r="AN197" s="713"/>
      <c r="AO197" s="713"/>
      <c r="AP197" s="714"/>
      <c r="AQ197" s="715"/>
      <c r="AR197" s="707"/>
      <c r="AS197" s="707"/>
    </row>
    <row r="198" spans="1:45" s="711" customFormat="1" ht="12.75" customHeight="1" x14ac:dyDescent="0.25">
      <c r="A198" s="710"/>
      <c r="B198" s="707"/>
      <c r="C198" s="707"/>
      <c r="F198" s="712"/>
      <c r="G198" s="712"/>
      <c r="H198" s="712"/>
      <c r="I198" s="712"/>
      <c r="J198" s="713"/>
      <c r="K198" s="713"/>
      <c r="L198" s="713"/>
      <c r="M198" s="713"/>
      <c r="N198" s="713"/>
      <c r="O198" s="713"/>
      <c r="P198" s="713"/>
      <c r="Q198" s="713"/>
      <c r="R198" s="713"/>
      <c r="S198" s="713"/>
      <c r="T198" s="713"/>
      <c r="U198" s="713"/>
      <c r="V198" s="713"/>
      <c r="W198" s="713"/>
      <c r="X198" s="713"/>
      <c r="Y198" s="713"/>
      <c r="Z198" s="713"/>
      <c r="AA198" s="713"/>
      <c r="AB198" s="713"/>
      <c r="AC198" s="713"/>
      <c r="AD198" s="713"/>
      <c r="AE198" s="713"/>
      <c r="AF198" s="713"/>
      <c r="AG198" s="713"/>
      <c r="AH198" s="713"/>
      <c r="AI198" s="713"/>
      <c r="AJ198" s="713"/>
      <c r="AK198" s="713"/>
      <c r="AL198" s="713"/>
      <c r="AM198" s="713"/>
      <c r="AN198" s="713"/>
      <c r="AO198" s="713"/>
      <c r="AP198" s="714"/>
      <c r="AQ198" s="715"/>
      <c r="AR198" s="707"/>
      <c r="AS198" s="707"/>
    </row>
    <row r="199" spans="1:45" s="711" customFormat="1" ht="12.75" customHeight="1" x14ac:dyDescent="0.25">
      <c r="A199" s="710"/>
      <c r="B199" s="707"/>
      <c r="C199" s="707"/>
      <c r="F199" s="712"/>
      <c r="G199" s="712"/>
      <c r="H199" s="712"/>
      <c r="I199" s="712"/>
      <c r="J199" s="713"/>
      <c r="K199" s="713"/>
      <c r="L199" s="713"/>
      <c r="M199" s="713"/>
      <c r="N199" s="713"/>
      <c r="O199" s="713"/>
      <c r="P199" s="713"/>
      <c r="Q199" s="713"/>
      <c r="R199" s="713"/>
      <c r="S199" s="713"/>
      <c r="T199" s="713"/>
      <c r="U199" s="713"/>
      <c r="V199" s="713"/>
      <c r="W199" s="713"/>
      <c r="X199" s="713"/>
      <c r="Y199" s="713"/>
      <c r="Z199" s="713"/>
      <c r="AA199" s="713"/>
      <c r="AB199" s="713"/>
      <c r="AC199" s="713"/>
      <c r="AD199" s="713"/>
      <c r="AE199" s="713"/>
      <c r="AF199" s="713"/>
      <c r="AG199" s="713"/>
      <c r="AH199" s="713"/>
      <c r="AI199" s="713"/>
      <c r="AJ199" s="713"/>
      <c r="AK199" s="713"/>
      <c r="AL199" s="713"/>
      <c r="AM199" s="713"/>
      <c r="AN199" s="713"/>
      <c r="AO199" s="713"/>
      <c r="AP199" s="714"/>
      <c r="AQ199" s="715"/>
      <c r="AR199" s="707"/>
      <c r="AS199" s="707"/>
    </row>
    <row r="200" spans="1:45" s="711" customFormat="1" ht="12.75" customHeight="1" x14ac:dyDescent="0.25">
      <c r="A200" s="710"/>
      <c r="B200" s="52" t="s">
        <v>593</v>
      </c>
      <c r="C200" s="21"/>
      <c r="D200" s="21"/>
      <c r="E200" s="21"/>
      <c r="F200" s="21"/>
      <c r="G200" s="21"/>
      <c r="H200" s="21"/>
      <c r="I200" s="21"/>
      <c r="J200" s="22"/>
      <c r="K200" s="22"/>
      <c r="L200" s="22"/>
      <c r="M200" s="22"/>
      <c r="N200" s="22"/>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714"/>
      <c r="AQ200" s="715"/>
      <c r="AR200" s="707"/>
      <c r="AS200" s="707"/>
    </row>
    <row r="201" spans="1:45" s="711" customFormat="1" ht="12.75" customHeight="1" x14ac:dyDescent="0.25">
      <c r="A201" s="710"/>
      <c r="B201" s="8"/>
      <c r="C201" s="8"/>
      <c r="D201" s="1164"/>
      <c r="E201" s="1164"/>
      <c r="F201" s="1164"/>
      <c r="G201" s="1164"/>
      <c r="H201" s="1164"/>
      <c r="I201" s="1164"/>
      <c r="J201" s="1162"/>
      <c r="K201" s="1162"/>
      <c r="L201" s="1162"/>
      <c r="M201" s="1162"/>
      <c r="N201" s="1160"/>
      <c r="O201" s="1160"/>
      <c r="P201" s="1161"/>
      <c r="Q201" s="1161"/>
      <c r="R201" s="8"/>
      <c r="S201" s="8"/>
      <c r="T201" s="8"/>
      <c r="U201" s="8"/>
      <c r="V201" s="713"/>
      <c r="W201" s="713"/>
      <c r="X201" s="713"/>
      <c r="Y201" s="713"/>
      <c r="Z201" s="713"/>
      <c r="AA201" s="713"/>
      <c r="AB201" s="713"/>
      <c r="AC201" s="713"/>
      <c r="AD201" s="713"/>
      <c r="AE201" s="713"/>
      <c r="AF201" s="713"/>
      <c r="AG201" s="713"/>
      <c r="AH201" s="713"/>
      <c r="AI201" s="713"/>
      <c r="AJ201" s="713"/>
      <c r="AK201" s="713"/>
      <c r="AL201" s="713"/>
      <c r="AM201" s="713"/>
      <c r="AN201" s="713"/>
      <c r="AO201" s="713"/>
      <c r="AP201" s="714"/>
      <c r="AQ201" s="715"/>
      <c r="AR201" s="707"/>
      <c r="AS201" s="707"/>
    </row>
    <row r="202" spans="1:45" s="711" customFormat="1" ht="12.75" customHeight="1" x14ac:dyDescent="0.25">
      <c r="A202" s="710"/>
      <c r="B202" s="8"/>
      <c r="C202" s="2029" t="s">
        <v>613</v>
      </c>
      <c r="D202" s="2030"/>
      <c r="E202" s="2030"/>
      <c r="F202" s="2030"/>
      <c r="G202" s="2030"/>
      <c r="H202" s="2030"/>
      <c r="I202" s="2030"/>
      <c r="J202" s="2030"/>
      <c r="K202" s="2030"/>
      <c r="L202" s="2030"/>
      <c r="M202" s="2030"/>
      <c r="N202" s="2030"/>
      <c r="O202" s="2030"/>
      <c r="P202" s="2030"/>
      <c r="Q202" s="2031"/>
      <c r="R202" s="8"/>
      <c r="S202" s="8"/>
      <c r="T202" s="8"/>
      <c r="U202" s="8"/>
      <c r="V202" s="713"/>
      <c r="W202" s="713"/>
      <c r="X202" s="713"/>
      <c r="Y202" s="713"/>
      <c r="Z202" s="713"/>
      <c r="AA202" s="713"/>
      <c r="AB202" s="713"/>
      <c r="AC202" s="713"/>
      <c r="AD202" s="713"/>
      <c r="AE202" s="713"/>
      <c r="AF202" s="713"/>
      <c r="AG202" s="713"/>
      <c r="AH202" s="713"/>
      <c r="AI202" s="713"/>
      <c r="AJ202" s="713"/>
      <c r="AK202" s="713"/>
      <c r="AL202" s="713"/>
      <c r="AM202" s="713"/>
      <c r="AN202" s="713"/>
      <c r="AO202" s="713"/>
      <c r="AP202" s="714"/>
      <c r="AQ202" s="715"/>
      <c r="AR202" s="707"/>
      <c r="AS202" s="707"/>
    </row>
    <row r="203" spans="1:45" s="711" customFormat="1" ht="12.75" customHeight="1" x14ac:dyDescent="0.25">
      <c r="A203" s="710"/>
      <c r="B203" s="8"/>
      <c r="C203" s="2032"/>
      <c r="D203" s="2033"/>
      <c r="E203" s="2033"/>
      <c r="F203" s="2033"/>
      <c r="G203" s="2033"/>
      <c r="H203" s="2033"/>
      <c r="I203" s="2033"/>
      <c r="J203" s="2033"/>
      <c r="K203" s="2033"/>
      <c r="L203" s="2033"/>
      <c r="M203" s="2033"/>
      <c r="N203" s="2033"/>
      <c r="O203" s="2033"/>
      <c r="P203" s="2033"/>
      <c r="Q203" s="2034"/>
      <c r="R203" s="8"/>
      <c r="S203" s="8"/>
      <c r="T203" s="8"/>
      <c r="U203" s="8"/>
      <c r="V203" s="713"/>
      <c r="W203" s="713"/>
      <c r="X203" s="713"/>
      <c r="Y203" s="713"/>
      <c r="Z203" s="713"/>
      <c r="AA203" s="713"/>
      <c r="AB203" s="713"/>
      <c r="AC203" s="713"/>
      <c r="AD203" s="713"/>
      <c r="AE203" s="713"/>
      <c r="AF203" s="713"/>
      <c r="AG203" s="713"/>
      <c r="AH203" s="713"/>
      <c r="AI203" s="713"/>
      <c r="AJ203" s="713"/>
      <c r="AK203" s="713"/>
      <c r="AL203" s="713"/>
      <c r="AM203" s="713"/>
      <c r="AN203" s="713"/>
      <c r="AO203" s="713"/>
      <c r="AP203" s="714"/>
      <c r="AQ203" s="715"/>
      <c r="AR203" s="707"/>
      <c r="AS203" s="707"/>
    </row>
    <row r="204" spans="1:45" s="711" customFormat="1" ht="12.75" customHeight="1" x14ac:dyDescent="0.25">
      <c r="A204" s="710"/>
      <c r="B204" s="8"/>
      <c r="C204" s="2032"/>
      <c r="D204" s="2033"/>
      <c r="E204" s="2033"/>
      <c r="F204" s="2033"/>
      <c r="G204" s="2033"/>
      <c r="H204" s="2033"/>
      <c r="I204" s="2033"/>
      <c r="J204" s="2033"/>
      <c r="K204" s="2033"/>
      <c r="L204" s="2033"/>
      <c r="M204" s="2033"/>
      <c r="N204" s="2033"/>
      <c r="O204" s="2033"/>
      <c r="P204" s="2033"/>
      <c r="Q204" s="2034"/>
      <c r="R204" s="8"/>
      <c r="S204" s="8"/>
      <c r="T204" s="8"/>
      <c r="U204" s="8"/>
      <c r="V204" s="713"/>
      <c r="W204" s="713"/>
      <c r="X204" s="713"/>
      <c r="Y204" s="713"/>
      <c r="Z204" s="713"/>
      <c r="AA204" s="713"/>
      <c r="AB204" s="713"/>
      <c r="AC204" s="713"/>
      <c r="AD204" s="713"/>
      <c r="AE204" s="713"/>
      <c r="AF204" s="713"/>
      <c r="AG204" s="713"/>
      <c r="AH204" s="713"/>
      <c r="AI204" s="713"/>
      <c r="AJ204" s="713"/>
      <c r="AK204" s="713"/>
      <c r="AL204" s="713"/>
      <c r="AM204" s="713"/>
      <c r="AN204" s="713"/>
      <c r="AO204" s="713"/>
      <c r="AP204" s="714"/>
      <c r="AQ204" s="715"/>
      <c r="AR204" s="707"/>
      <c r="AS204" s="707"/>
    </row>
    <row r="205" spans="1:45" s="711" customFormat="1" ht="12.75" customHeight="1" x14ac:dyDescent="0.25">
      <c r="A205" s="710"/>
      <c r="B205" s="8"/>
      <c r="C205" s="2032"/>
      <c r="D205" s="2033"/>
      <c r="E205" s="2033"/>
      <c r="F205" s="2033"/>
      <c r="G205" s="2033"/>
      <c r="H205" s="2033"/>
      <c r="I205" s="2033"/>
      <c r="J205" s="2033"/>
      <c r="K205" s="2033"/>
      <c r="L205" s="2033"/>
      <c r="M205" s="2033"/>
      <c r="N205" s="2033"/>
      <c r="O205" s="2033"/>
      <c r="P205" s="2033"/>
      <c r="Q205" s="2034"/>
      <c r="R205" s="8"/>
      <c r="S205" s="8"/>
      <c r="T205" s="8"/>
      <c r="U205" s="8"/>
      <c r="V205" s="713"/>
      <c r="W205" s="713"/>
      <c r="X205" s="713"/>
      <c r="Y205" s="713"/>
      <c r="Z205" s="713"/>
      <c r="AA205" s="713"/>
      <c r="AB205" s="713"/>
      <c r="AC205" s="713"/>
      <c r="AD205" s="713"/>
      <c r="AE205" s="713"/>
      <c r="AF205" s="713"/>
      <c r="AG205" s="713"/>
      <c r="AH205" s="713"/>
      <c r="AI205" s="713"/>
      <c r="AJ205" s="713"/>
      <c r="AK205" s="713"/>
      <c r="AL205" s="713"/>
      <c r="AM205" s="713"/>
      <c r="AN205" s="713"/>
      <c r="AO205" s="713"/>
      <c r="AP205" s="714"/>
      <c r="AQ205" s="715"/>
      <c r="AR205" s="707"/>
      <c r="AS205" s="707"/>
    </row>
    <row r="206" spans="1:45" s="711" customFormat="1" ht="12.75" customHeight="1" x14ac:dyDescent="0.25">
      <c r="A206" s="710"/>
      <c r="B206" s="8"/>
      <c r="C206" s="2032"/>
      <c r="D206" s="2033"/>
      <c r="E206" s="2033"/>
      <c r="F206" s="2033"/>
      <c r="G206" s="2033"/>
      <c r="H206" s="2033"/>
      <c r="I206" s="2033"/>
      <c r="J206" s="2033"/>
      <c r="K206" s="2033"/>
      <c r="L206" s="2033"/>
      <c r="M206" s="2033"/>
      <c r="N206" s="2033"/>
      <c r="O206" s="2033"/>
      <c r="P206" s="2033"/>
      <c r="Q206" s="2034"/>
      <c r="R206" s="8"/>
      <c r="S206" s="8"/>
      <c r="T206" s="8"/>
      <c r="U206" s="8"/>
      <c r="V206" s="713"/>
      <c r="W206" s="713"/>
      <c r="X206" s="713"/>
      <c r="Y206" s="713"/>
      <c r="Z206" s="713"/>
      <c r="AA206" s="713"/>
      <c r="AB206" s="713"/>
      <c r="AC206" s="713"/>
      <c r="AD206" s="713"/>
      <c r="AE206" s="713"/>
      <c r="AF206" s="713"/>
      <c r="AG206" s="713"/>
      <c r="AH206" s="713"/>
      <c r="AI206" s="713"/>
      <c r="AJ206" s="713"/>
      <c r="AK206" s="713"/>
      <c r="AL206" s="713"/>
      <c r="AM206" s="713"/>
      <c r="AN206" s="713"/>
      <c r="AO206" s="713"/>
      <c r="AP206" s="714"/>
      <c r="AQ206" s="715"/>
      <c r="AR206" s="707"/>
      <c r="AS206" s="707"/>
    </row>
    <row r="207" spans="1:45" s="711" customFormat="1" ht="12.75" customHeight="1" x14ac:dyDescent="0.25">
      <c r="A207" s="710"/>
      <c r="B207" s="8"/>
      <c r="C207" s="2032"/>
      <c r="D207" s="2033"/>
      <c r="E207" s="2033"/>
      <c r="F207" s="2033"/>
      <c r="G207" s="2033"/>
      <c r="H207" s="2033"/>
      <c r="I207" s="2033"/>
      <c r="J207" s="2033"/>
      <c r="K207" s="2033"/>
      <c r="L207" s="2033"/>
      <c r="M207" s="2033"/>
      <c r="N207" s="2033"/>
      <c r="O207" s="2033"/>
      <c r="P207" s="2033"/>
      <c r="Q207" s="2034"/>
      <c r="R207" s="8"/>
      <c r="S207" s="8"/>
      <c r="T207" s="8"/>
      <c r="U207" s="8"/>
      <c r="V207" s="713"/>
      <c r="W207" s="713"/>
      <c r="X207" s="713"/>
      <c r="Y207" s="713"/>
      <c r="Z207" s="713"/>
      <c r="AA207" s="713"/>
      <c r="AB207" s="713"/>
      <c r="AC207" s="713"/>
      <c r="AD207" s="713"/>
      <c r="AE207" s="713"/>
      <c r="AF207" s="713"/>
      <c r="AG207" s="713"/>
      <c r="AH207" s="713"/>
      <c r="AI207" s="713"/>
      <c r="AJ207" s="713"/>
      <c r="AK207" s="713"/>
      <c r="AL207" s="713"/>
      <c r="AM207" s="713"/>
      <c r="AN207" s="713"/>
      <c r="AO207" s="713"/>
      <c r="AP207" s="714"/>
      <c r="AQ207" s="715"/>
      <c r="AR207" s="707"/>
      <c r="AS207" s="707"/>
    </row>
    <row r="208" spans="1:45" s="711" customFormat="1" ht="12.75" customHeight="1" x14ac:dyDescent="0.25">
      <c r="A208" s="710"/>
      <c r="B208" s="8"/>
      <c r="C208" s="2035"/>
      <c r="D208" s="2036"/>
      <c r="E208" s="2036"/>
      <c r="F208" s="2036"/>
      <c r="G208" s="2036"/>
      <c r="H208" s="2036"/>
      <c r="I208" s="2036"/>
      <c r="J208" s="2036"/>
      <c r="K208" s="2036"/>
      <c r="L208" s="2036"/>
      <c r="M208" s="2036"/>
      <c r="N208" s="2036"/>
      <c r="O208" s="2036"/>
      <c r="P208" s="2036"/>
      <c r="Q208" s="2037"/>
      <c r="R208" s="8"/>
      <c r="S208" s="8"/>
      <c r="T208" s="8"/>
      <c r="U208" s="8"/>
      <c r="V208" s="713"/>
      <c r="W208" s="713"/>
      <c r="X208" s="713"/>
      <c r="Y208" s="713"/>
      <c r="Z208" s="713"/>
      <c r="AA208" s="713"/>
      <c r="AB208" s="713"/>
      <c r="AC208" s="713"/>
      <c r="AD208" s="713"/>
      <c r="AE208" s="713"/>
      <c r="AF208" s="713"/>
      <c r="AG208" s="713"/>
      <c r="AH208" s="713"/>
      <c r="AI208" s="713"/>
      <c r="AJ208" s="713"/>
      <c r="AK208" s="713"/>
      <c r="AL208" s="713"/>
      <c r="AM208" s="713"/>
      <c r="AN208" s="713"/>
      <c r="AO208" s="713"/>
      <c r="AP208" s="714"/>
      <c r="AQ208" s="715"/>
      <c r="AR208" s="707"/>
      <c r="AS208" s="707"/>
    </row>
    <row r="209" spans="1:45" s="711" customFormat="1" ht="12.75" customHeight="1" x14ac:dyDescent="0.25">
      <c r="A209" s="710"/>
      <c r="B209" s="8"/>
      <c r="C209" s="8"/>
      <c r="D209" s="1164"/>
      <c r="E209" s="1164"/>
      <c r="F209" s="1164"/>
      <c r="G209" s="1164"/>
      <c r="H209" s="1164"/>
      <c r="I209" s="1164"/>
      <c r="J209" s="1162"/>
      <c r="K209" s="1162"/>
      <c r="L209" s="1162"/>
      <c r="M209" s="1162"/>
      <c r="N209" s="1160"/>
      <c r="O209" s="1160"/>
      <c r="P209" s="1161"/>
      <c r="Q209" s="1161"/>
      <c r="R209" s="8"/>
      <c r="S209" s="8"/>
      <c r="T209" s="8"/>
      <c r="U209" s="8"/>
      <c r="V209" s="713"/>
      <c r="W209" s="713"/>
      <c r="X209" s="713"/>
      <c r="Y209" s="713"/>
      <c r="Z209" s="713"/>
      <c r="AA209" s="713"/>
      <c r="AB209" s="713"/>
      <c r="AC209" s="713"/>
      <c r="AD209" s="713"/>
      <c r="AE209" s="713"/>
      <c r="AF209" s="713"/>
      <c r="AG209" s="713"/>
      <c r="AH209" s="713"/>
      <c r="AI209" s="713"/>
      <c r="AJ209" s="713"/>
      <c r="AK209" s="713"/>
      <c r="AL209" s="713"/>
      <c r="AM209" s="713"/>
      <c r="AN209" s="713"/>
      <c r="AO209" s="713"/>
      <c r="AP209" s="714"/>
      <c r="AQ209" s="715"/>
      <c r="AR209" s="707"/>
      <c r="AS209" s="707"/>
    </row>
    <row r="210" spans="1:45" s="711" customFormat="1" ht="12.75" customHeight="1" x14ac:dyDescent="0.25">
      <c r="A210" s="710"/>
      <c r="B210" s="707"/>
      <c r="C210" s="707"/>
      <c r="F210" s="712"/>
      <c r="G210" s="712"/>
      <c r="H210" s="712"/>
      <c r="I210" s="712"/>
      <c r="J210" s="713"/>
      <c r="K210" s="713"/>
      <c r="L210" s="713"/>
      <c r="M210" s="713"/>
      <c r="N210" s="713"/>
      <c r="O210" s="713"/>
      <c r="P210" s="713"/>
      <c r="Q210" s="713"/>
      <c r="R210" s="713"/>
      <c r="S210" s="713"/>
      <c r="T210" s="713"/>
      <c r="U210" s="713"/>
      <c r="V210" s="713"/>
      <c r="W210" s="713"/>
      <c r="X210" s="713"/>
      <c r="Y210" s="713"/>
      <c r="Z210" s="713"/>
      <c r="AA210" s="713"/>
      <c r="AB210" s="713"/>
      <c r="AC210" s="713"/>
      <c r="AD210" s="713"/>
      <c r="AE210" s="713"/>
      <c r="AF210" s="713"/>
      <c r="AG210" s="713"/>
      <c r="AH210" s="713"/>
      <c r="AI210" s="713"/>
      <c r="AJ210" s="713"/>
      <c r="AK210" s="713"/>
      <c r="AL210" s="713"/>
      <c r="AM210" s="713"/>
      <c r="AN210" s="713"/>
      <c r="AO210" s="713"/>
      <c r="AP210" s="714"/>
      <c r="AQ210" s="715"/>
      <c r="AR210" s="707"/>
      <c r="AS210" s="707"/>
    </row>
    <row r="211" spans="1:45" s="711" customFormat="1" ht="12.75" customHeight="1" x14ac:dyDescent="0.25">
      <c r="A211" s="710"/>
      <c r="B211" s="707"/>
      <c r="C211" s="707"/>
      <c r="F211" s="712"/>
      <c r="G211" s="712"/>
      <c r="H211" s="712"/>
      <c r="I211" s="712"/>
      <c r="J211" s="713"/>
      <c r="K211" s="713"/>
      <c r="L211" s="713"/>
      <c r="M211" s="713"/>
      <c r="N211" s="713"/>
      <c r="O211" s="713"/>
      <c r="P211" s="713"/>
      <c r="Q211" s="713"/>
      <c r="R211" s="713"/>
      <c r="S211" s="713"/>
      <c r="T211" s="713"/>
      <c r="U211" s="713"/>
      <c r="V211" s="713"/>
      <c r="W211" s="713"/>
      <c r="X211" s="713"/>
      <c r="Y211" s="713"/>
      <c r="Z211" s="713"/>
      <c r="AA211" s="713"/>
      <c r="AB211" s="713"/>
      <c r="AC211" s="713"/>
      <c r="AD211" s="713"/>
      <c r="AE211" s="713"/>
      <c r="AF211" s="713"/>
      <c r="AG211" s="713"/>
      <c r="AH211" s="713"/>
      <c r="AI211" s="713"/>
      <c r="AJ211" s="713"/>
      <c r="AK211" s="713"/>
      <c r="AL211" s="713"/>
      <c r="AM211" s="713"/>
      <c r="AN211" s="713"/>
      <c r="AO211" s="713"/>
      <c r="AP211" s="714"/>
      <c r="AQ211" s="715"/>
      <c r="AR211" s="707"/>
      <c r="AS211" s="707"/>
    </row>
    <row r="212" spans="1:45" s="711" customFormat="1" ht="12.75" customHeight="1" x14ac:dyDescent="0.25">
      <c r="A212" s="44" t="s">
        <v>547</v>
      </c>
      <c r="B212" s="44"/>
      <c r="C212" s="44"/>
      <c r="D212" s="44"/>
      <c r="E212" s="44"/>
      <c r="F212" s="44"/>
      <c r="G212" s="44"/>
      <c r="H212" s="44"/>
      <c r="I212" s="44"/>
      <c r="J212" s="45"/>
      <c r="K212" s="45"/>
      <c r="L212" s="45"/>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714"/>
      <c r="AQ212" s="715"/>
      <c r="AR212" s="707"/>
      <c r="AS212" s="707"/>
    </row>
    <row r="213" spans="1:45" s="711" customFormat="1" ht="12.75" customHeight="1" x14ac:dyDescent="0.25">
      <c r="A213" s="710"/>
      <c r="B213" s="707"/>
      <c r="C213" s="707"/>
      <c r="F213" s="712"/>
      <c r="G213" s="712"/>
      <c r="H213" s="712"/>
      <c r="I213" s="712"/>
      <c r="J213" s="713"/>
      <c r="K213" s="713"/>
      <c r="L213" s="713"/>
      <c r="M213" s="713"/>
      <c r="N213" s="713"/>
      <c r="O213" s="713"/>
      <c r="P213" s="713"/>
      <c r="Q213" s="713"/>
      <c r="R213" s="713"/>
      <c r="S213" s="713"/>
      <c r="T213" s="713"/>
      <c r="U213" s="713"/>
      <c r="V213" s="713"/>
      <c r="W213" s="713"/>
      <c r="X213" s="713"/>
      <c r="Y213" s="713"/>
      <c r="Z213" s="713"/>
      <c r="AA213" s="713"/>
      <c r="AB213" s="713"/>
      <c r="AC213" s="713"/>
      <c r="AD213" s="713"/>
      <c r="AE213" s="713"/>
      <c r="AF213" s="713"/>
      <c r="AG213" s="713"/>
      <c r="AH213" s="713"/>
      <c r="AI213" s="713"/>
      <c r="AJ213" s="713"/>
      <c r="AK213" s="713"/>
      <c r="AL213" s="713"/>
      <c r="AM213" s="713"/>
      <c r="AN213" s="713"/>
      <c r="AO213" s="713"/>
      <c r="AP213" s="714"/>
      <c r="AQ213" s="715"/>
      <c r="AR213" s="707"/>
      <c r="AS213" s="707"/>
    </row>
    <row r="214" spans="1:45" s="711" customFormat="1" ht="12.75" customHeight="1" x14ac:dyDescent="0.25">
      <c r="A214" s="710"/>
      <c r="B214" s="55" t="s">
        <v>518</v>
      </c>
      <c r="C214" s="55"/>
      <c r="D214" s="81"/>
      <c r="E214" s="81"/>
      <c r="F214" s="81"/>
      <c r="G214" s="81"/>
      <c r="H214" s="81"/>
      <c r="I214" s="81"/>
      <c r="J214" s="81"/>
      <c r="K214" s="81"/>
      <c r="L214" s="81"/>
      <c r="M214" s="81"/>
      <c r="N214" s="81"/>
      <c r="O214" s="55"/>
      <c r="P214" s="55"/>
      <c r="Q214" s="55"/>
      <c r="R214" s="788"/>
      <c r="S214" s="788"/>
      <c r="T214" s="788"/>
      <c r="U214" s="788"/>
      <c r="V214" s="788"/>
      <c r="W214" s="788"/>
      <c r="X214" s="788"/>
      <c r="Y214" s="788"/>
      <c r="Z214" s="788"/>
      <c r="AA214" s="788"/>
      <c r="AB214" s="788"/>
      <c r="AC214" s="788"/>
      <c r="AD214" s="788"/>
      <c r="AE214" s="788"/>
      <c r="AF214" s="788"/>
      <c r="AG214" s="788"/>
      <c r="AH214" s="788"/>
      <c r="AI214" s="788"/>
      <c r="AJ214" s="788"/>
      <c r="AK214" s="788"/>
      <c r="AL214" s="788"/>
      <c r="AM214" s="788"/>
      <c r="AN214" s="788"/>
      <c r="AO214" s="788"/>
      <c r="AP214" s="714"/>
      <c r="AQ214" s="715"/>
      <c r="AR214" s="707"/>
      <c r="AS214" s="707"/>
    </row>
    <row r="215" spans="1:45" s="711" customFormat="1" ht="12.75" customHeight="1" x14ac:dyDescent="0.25">
      <c r="A215" s="710"/>
      <c r="B215" s="707"/>
      <c r="C215" s="707"/>
      <c r="F215" s="712"/>
      <c r="G215" s="712"/>
      <c r="H215" s="712"/>
      <c r="I215" s="712"/>
      <c r="J215" s="713"/>
      <c r="K215" s="713"/>
      <c r="L215" s="713"/>
      <c r="M215" s="713"/>
      <c r="N215" s="713"/>
      <c r="O215" s="713"/>
      <c r="P215" s="713"/>
      <c r="Q215" s="713"/>
      <c r="R215" s="713"/>
      <c r="S215" s="713"/>
      <c r="T215" s="713"/>
      <c r="U215" s="713"/>
      <c r="V215" s="713"/>
      <c r="W215" s="713"/>
      <c r="X215" s="713"/>
      <c r="Y215" s="713"/>
      <c r="Z215" s="713"/>
      <c r="AA215" s="713"/>
      <c r="AB215" s="713"/>
      <c r="AC215" s="713"/>
      <c r="AD215" s="713"/>
      <c r="AE215" s="713"/>
      <c r="AF215" s="713"/>
      <c r="AG215" s="713"/>
      <c r="AH215" s="713"/>
      <c r="AI215" s="713"/>
      <c r="AJ215" s="713"/>
      <c r="AK215" s="713"/>
      <c r="AL215" s="713"/>
      <c r="AM215" s="713"/>
      <c r="AN215" s="713"/>
      <c r="AO215" s="713"/>
      <c r="AP215" s="714"/>
      <c r="AQ215" s="715"/>
      <c r="AR215" s="707"/>
      <c r="AS215" s="707"/>
    </row>
    <row r="216" spans="1:45" s="711" customFormat="1" ht="12.75" customHeight="1" x14ac:dyDescent="0.25">
      <c r="A216" s="710"/>
      <c r="B216" s="707"/>
      <c r="C216" s="707" t="s">
        <v>549</v>
      </c>
      <c r="F216" s="712"/>
      <c r="G216" s="712"/>
      <c r="I216" s="712"/>
      <c r="J216" s="713"/>
      <c r="K216" s="713"/>
      <c r="L216" s="713"/>
      <c r="M216" s="713"/>
      <c r="N216" s="713"/>
      <c r="O216" s="2005" t="s">
        <v>548</v>
      </c>
      <c r="P216" s="2028"/>
      <c r="Q216" s="713"/>
      <c r="R216" s="713"/>
      <c r="S216" s="713"/>
      <c r="T216" s="713"/>
      <c r="U216" s="713"/>
      <c r="V216" s="713"/>
      <c r="W216" s="713"/>
      <c r="X216" s="713"/>
      <c r="Y216" s="713"/>
      <c r="Z216" s="713"/>
      <c r="AA216" s="713"/>
      <c r="AB216" s="713"/>
      <c r="AC216" s="713"/>
      <c r="AD216" s="713"/>
      <c r="AE216" s="713"/>
      <c r="AF216" s="713"/>
      <c r="AG216" s="713"/>
      <c r="AH216" s="713"/>
      <c r="AI216" s="713"/>
      <c r="AJ216" s="713"/>
      <c r="AK216" s="713"/>
      <c r="AL216" s="713"/>
      <c r="AM216" s="713"/>
      <c r="AN216" s="713"/>
      <c r="AO216" s="713"/>
      <c r="AP216" s="714"/>
      <c r="AQ216" s="715"/>
      <c r="AR216" s="707"/>
      <c r="AS216" s="707"/>
    </row>
    <row r="217" spans="1:45" s="711" customFormat="1" ht="12.75" customHeight="1" x14ac:dyDescent="0.25">
      <c r="A217" s="710"/>
      <c r="B217" s="707"/>
      <c r="C217" s="707"/>
      <c r="D217" s="707" t="s">
        <v>517</v>
      </c>
      <c r="F217" s="712"/>
      <c r="G217" s="712"/>
      <c r="I217" s="712"/>
      <c r="J217" s="68" t="s">
        <v>16</v>
      </c>
      <c r="K217" s="68"/>
      <c r="L217" s="68"/>
      <c r="M217" s="713"/>
      <c r="N217" s="713"/>
      <c r="O217" s="2007">
        <v>0</v>
      </c>
      <c r="P217" s="2008"/>
      <c r="Q217" s="713"/>
      <c r="R217" s="713"/>
      <c r="S217" s="713"/>
      <c r="T217" s="713"/>
      <c r="U217" s="713"/>
      <c r="V217" s="713"/>
      <c r="W217" s="713"/>
      <c r="X217" s="713"/>
      <c r="Y217" s="713"/>
      <c r="Z217" s="713"/>
      <c r="AA217" s="713"/>
      <c r="AB217" s="713"/>
      <c r="AC217" s="713"/>
      <c r="AD217" s="713"/>
      <c r="AE217" s="713"/>
      <c r="AF217" s="713"/>
      <c r="AG217" s="713"/>
      <c r="AH217" s="713"/>
      <c r="AI217" s="713"/>
      <c r="AJ217" s="713"/>
      <c r="AK217" s="713"/>
      <c r="AL217" s="713"/>
      <c r="AM217" s="713"/>
      <c r="AN217" s="713"/>
      <c r="AO217" s="713"/>
      <c r="AP217" s="714"/>
      <c r="AQ217" s="715"/>
      <c r="AR217" s="707"/>
      <c r="AS217" s="707"/>
    </row>
    <row r="218" spans="1:45" s="711" customFormat="1" ht="12.75" customHeight="1" x14ac:dyDescent="0.25">
      <c r="A218" s="710"/>
      <c r="B218" s="707"/>
      <c r="C218" s="707"/>
      <c r="D218" s="707" t="s">
        <v>550</v>
      </c>
      <c r="F218" s="712"/>
      <c r="G218" s="712"/>
      <c r="I218" s="712"/>
      <c r="J218" s="68" t="s">
        <v>16</v>
      </c>
      <c r="K218" s="68"/>
      <c r="L218" s="68"/>
      <c r="M218" s="713"/>
      <c r="N218" s="713"/>
      <c r="O218" s="2026">
        <v>0</v>
      </c>
      <c r="P218" s="2027"/>
      <c r="Q218" s="713"/>
      <c r="R218" s="713"/>
      <c r="S218" s="713"/>
      <c r="T218" s="713"/>
      <c r="U218" s="713"/>
      <c r="V218" s="713"/>
      <c r="W218" s="713"/>
      <c r="X218" s="713"/>
      <c r="Y218" s="713"/>
      <c r="Z218" s="713"/>
      <c r="AA218" s="713"/>
      <c r="AB218" s="713"/>
      <c r="AC218" s="713"/>
      <c r="AD218" s="713"/>
      <c r="AE218" s="713"/>
      <c r="AF218" s="713"/>
      <c r="AG218" s="713"/>
      <c r="AH218" s="713"/>
      <c r="AI218" s="713"/>
      <c r="AJ218" s="713"/>
      <c r="AK218" s="713"/>
      <c r="AL218" s="713"/>
      <c r="AM218" s="713"/>
      <c r="AN218" s="713"/>
      <c r="AO218" s="713"/>
      <c r="AP218" s="714"/>
      <c r="AQ218" s="715"/>
      <c r="AR218" s="707"/>
      <c r="AS218" s="707"/>
    </row>
    <row r="219" spans="1:45" s="711" customFormat="1" ht="12.75" customHeight="1" x14ac:dyDescent="0.25">
      <c r="A219" s="710"/>
      <c r="B219" s="707"/>
      <c r="C219" s="707"/>
      <c r="D219" s="707" t="s">
        <v>553</v>
      </c>
      <c r="F219" s="712"/>
      <c r="G219" s="712"/>
      <c r="H219" s="712"/>
      <c r="I219" s="712"/>
      <c r="J219" s="68" t="s">
        <v>16</v>
      </c>
      <c r="K219" s="713"/>
      <c r="L219" s="713"/>
      <c r="M219" s="713"/>
      <c r="N219" s="713"/>
      <c r="O219" s="1975">
        <v>0</v>
      </c>
      <c r="P219" s="1976"/>
      <c r="Q219" s="713"/>
      <c r="R219" s="713"/>
      <c r="S219" s="713"/>
      <c r="T219" s="713"/>
      <c r="U219" s="713"/>
      <c r="V219" s="713"/>
      <c r="W219" s="713"/>
      <c r="X219" s="713"/>
      <c r="Y219" s="713"/>
      <c r="Z219" s="713"/>
      <c r="AA219" s="713"/>
      <c r="AB219" s="713"/>
      <c r="AC219" s="713"/>
      <c r="AD219" s="713"/>
      <c r="AE219" s="713"/>
      <c r="AF219" s="713"/>
      <c r="AG219" s="713"/>
      <c r="AH219" s="713"/>
      <c r="AI219" s="713"/>
      <c r="AJ219" s="713"/>
      <c r="AK219" s="713"/>
      <c r="AL219" s="713"/>
      <c r="AM219" s="713"/>
      <c r="AN219" s="713"/>
      <c r="AO219" s="713"/>
      <c r="AP219" s="714"/>
      <c r="AQ219" s="715"/>
      <c r="AR219" s="707"/>
      <c r="AS219" s="707"/>
    </row>
    <row r="220" spans="1:45" s="711" customFormat="1" ht="12.75" customHeight="1" x14ac:dyDescent="0.25">
      <c r="A220" s="710"/>
      <c r="B220" s="707"/>
      <c r="C220" s="707"/>
      <c r="F220" s="712"/>
      <c r="G220" s="712"/>
      <c r="H220" s="712"/>
      <c r="I220" s="712"/>
      <c r="J220" s="713"/>
      <c r="K220" s="713"/>
      <c r="L220" s="713"/>
      <c r="M220" s="713"/>
      <c r="N220" s="713"/>
      <c r="O220" s="713"/>
      <c r="P220" s="713"/>
      <c r="Q220" s="713"/>
      <c r="R220" s="713"/>
      <c r="S220" s="713"/>
      <c r="T220" s="713"/>
      <c r="U220" s="713"/>
      <c r="V220" s="713"/>
      <c r="W220" s="713"/>
      <c r="X220" s="713"/>
      <c r="Y220" s="713"/>
      <c r="Z220" s="713"/>
      <c r="AA220" s="713"/>
      <c r="AB220" s="713"/>
      <c r="AC220" s="713"/>
      <c r="AD220" s="713"/>
      <c r="AE220" s="713"/>
      <c r="AF220" s="713"/>
      <c r="AG220" s="713"/>
      <c r="AH220" s="713"/>
      <c r="AI220" s="713"/>
      <c r="AJ220" s="713"/>
      <c r="AK220" s="713"/>
      <c r="AL220" s="713"/>
      <c r="AM220" s="713"/>
      <c r="AN220" s="713"/>
      <c r="AO220" s="713"/>
      <c r="AP220" s="714"/>
      <c r="AQ220" s="715"/>
      <c r="AR220" s="707"/>
      <c r="AS220" s="707"/>
    </row>
    <row r="221" spans="1:45" s="711" customFormat="1" ht="12.75" customHeight="1" x14ac:dyDescent="0.25">
      <c r="A221" s="710"/>
      <c r="B221" s="52" t="s">
        <v>594</v>
      </c>
      <c r="C221" s="21"/>
      <c r="D221" s="21"/>
      <c r="E221" s="21"/>
      <c r="F221" s="21"/>
      <c r="G221" s="21"/>
      <c r="H221" s="21"/>
      <c r="I221" s="21"/>
      <c r="J221" s="22"/>
      <c r="K221" s="22"/>
      <c r="L221" s="22"/>
      <c r="M221" s="22"/>
      <c r="N221" s="22"/>
      <c r="O221" s="21"/>
      <c r="P221" s="21"/>
      <c r="Q221" s="21"/>
      <c r="R221" s="21"/>
      <c r="S221" s="21"/>
      <c r="T221" s="21"/>
      <c r="U221" s="21"/>
      <c r="V221" s="713"/>
      <c r="W221" s="713"/>
      <c r="X221" s="713"/>
      <c r="Y221" s="713"/>
      <c r="Z221" s="713"/>
      <c r="AA221" s="713"/>
      <c r="AB221" s="713"/>
      <c r="AC221" s="713"/>
      <c r="AD221" s="713"/>
      <c r="AE221" s="713"/>
      <c r="AF221" s="713"/>
      <c r="AG221" s="713"/>
      <c r="AH221" s="713"/>
      <c r="AI221" s="713"/>
      <c r="AJ221" s="713"/>
      <c r="AK221" s="713"/>
      <c r="AL221" s="713"/>
      <c r="AM221" s="713"/>
      <c r="AN221" s="713"/>
      <c r="AO221" s="713"/>
      <c r="AP221" s="714"/>
      <c r="AQ221" s="715"/>
      <c r="AR221" s="707"/>
      <c r="AS221" s="707"/>
    </row>
    <row r="222" spans="1:45" s="711" customFormat="1" ht="12.75" customHeight="1" x14ac:dyDescent="0.25">
      <c r="A222" s="710"/>
      <c r="B222" s="8"/>
      <c r="C222" s="8"/>
      <c r="D222" s="8"/>
      <c r="E222" s="8"/>
      <c r="F222" s="8"/>
      <c r="G222" s="8"/>
      <c r="H222" s="8"/>
      <c r="I222" s="11"/>
      <c r="J222" s="1128"/>
      <c r="K222" s="1128"/>
      <c r="L222" s="1128"/>
      <c r="M222" s="1128"/>
      <c r="N222" s="1128"/>
      <c r="O222" s="1128"/>
      <c r="P222" s="40"/>
      <c r="Q222" s="8"/>
      <c r="R222" s="8"/>
      <c r="S222" s="8"/>
      <c r="T222" s="8"/>
      <c r="U222" s="8"/>
      <c r="V222" s="713"/>
      <c r="W222" s="713"/>
      <c r="X222" s="713"/>
      <c r="Y222" s="713"/>
      <c r="Z222" s="713"/>
      <c r="AA222" s="713"/>
      <c r="AB222" s="713"/>
      <c r="AC222" s="713"/>
      <c r="AD222" s="713"/>
      <c r="AE222" s="713"/>
      <c r="AF222" s="713"/>
      <c r="AG222" s="713"/>
      <c r="AH222" s="713"/>
      <c r="AI222" s="713"/>
      <c r="AJ222" s="713"/>
      <c r="AK222" s="713"/>
      <c r="AL222" s="713"/>
      <c r="AM222" s="713"/>
      <c r="AN222" s="713"/>
      <c r="AO222" s="713"/>
      <c r="AP222" s="714"/>
      <c r="AQ222" s="715"/>
      <c r="AR222" s="707"/>
      <c r="AS222" s="707"/>
    </row>
    <row r="223" spans="1:45" s="711" customFormat="1" ht="12.75" customHeight="1" x14ac:dyDescent="0.25">
      <c r="A223" s="710"/>
      <c r="B223" s="8"/>
      <c r="C223" s="8"/>
      <c r="D223" s="8"/>
      <c r="E223" s="8"/>
      <c r="F223" s="8"/>
      <c r="G223" s="8"/>
      <c r="H223" s="8"/>
      <c r="I223" s="11"/>
      <c r="J223" s="1128"/>
      <c r="K223" s="1128"/>
      <c r="L223" s="1128"/>
      <c r="M223" s="1128"/>
      <c r="N223" s="1128"/>
      <c r="O223" s="1128"/>
      <c r="P223" s="40"/>
      <c r="Q223" s="8"/>
      <c r="R223" s="8"/>
      <c r="S223" s="8"/>
      <c r="T223" s="8"/>
      <c r="U223" s="8"/>
      <c r="V223" s="713"/>
      <c r="W223" s="713"/>
      <c r="X223" s="713"/>
      <c r="Y223" s="713"/>
      <c r="Z223" s="713"/>
      <c r="AA223" s="713"/>
      <c r="AB223" s="713"/>
      <c r="AC223" s="713"/>
      <c r="AD223" s="713"/>
      <c r="AE223" s="713"/>
      <c r="AF223" s="713"/>
      <c r="AG223" s="713"/>
      <c r="AH223" s="713"/>
      <c r="AI223" s="713"/>
      <c r="AJ223" s="713"/>
      <c r="AK223" s="713"/>
      <c r="AL223" s="713"/>
      <c r="AM223" s="713"/>
      <c r="AN223" s="713"/>
      <c r="AO223" s="713"/>
      <c r="AP223" s="714"/>
      <c r="AQ223" s="715"/>
      <c r="AR223" s="707"/>
      <c r="AS223" s="707"/>
    </row>
    <row r="224" spans="1:45" s="711" customFormat="1" ht="12.75" customHeight="1" x14ac:dyDescent="0.25">
      <c r="A224" s="710"/>
      <c r="B224" s="8"/>
      <c r="C224" s="8"/>
      <c r="D224" s="8"/>
      <c r="E224" s="8"/>
      <c r="F224" s="8"/>
      <c r="G224" s="8"/>
      <c r="H224" s="8"/>
      <c r="I224" s="8"/>
      <c r="J224" s="1127"/>
      <c r="K224" s="1127"/>
      <c r="L224" s="1127"/>
      <c r="M224" s="1127"/>
      <c r="N224" s="1518" t="s">
        <v>548</v>
      </c>
      <c r="O224" s="1553"/>
      <c r="P224" s="1553"/>
      <c r="Q224" s="1554"/>
      <c r="R224" s="8"/>
      <c r="S224" s="8"/>
      <c r="T224" s="8"/>
      <c r="U224" s="8"/>
      <c r="V224" s="713"/>
      <c r="W224" s="713"/>
      <c r="X224" s="713"/>
      <c r="Y224" s="713"/>
      <c r="Z224" s="713"/>
      <c r="AA224" s="713"/>
      <c r="AB224" s="713"/>
      <c r="AC224" s="713"/>
      <c r="AD224" s="713"/>
      <c r="AE224" s="713"/>
      <c r="AF224" s="713"/>
      <c r="AG224" s="713"/>
      <c r="AH224" s="713"/>
      <c r="AI224" s="713"/>
      <c r="AJ224" s="713"/>
      <c r="AK224" s="713"/>
      <c r="AL224" s="713"/>
      <c r="AM224" s="713"/>
      <c r="AN224" s="713"/>
      <c r="AO224" s="713"/>
      <c r="AP224" s="714"/>
      <c r="AQ224" s="715"/>
      <c r="AR224" s="707"/>
      <c r="AS224" s="707"/>
    </row>
    <row r="225" spans="1:45" s="711" customFormat="1" ht="12.75" customHeight="1" x14ac:dyDescent="0.25">
      <c r="A225" s="710"/>
      <c r="B225" s="8"/>
      <c r="C225" s="8"/>
      <c r="D225" s="8"/>
      <c r="E225" s="8"/>
      <c r="F225" s="8"/>
      <c r="G225" s="8"/>
      <c r="H225" s="8"/>
      <c r="I225" s="8"/>
      <c r="J225" s="1127"/>
      <c r="K225" s="1127"/>
      <c r="L225" s="1127"/>
      <c r="M225" s="1127"/>
      <c r="N225" s="1501" t="s">
        <v>200</v>
      </c>
      <c r="O225" s="1502"/>
      <c r="P225" s="1503" t="s">
        <v>201</v>
      </c>
      <c r="Q225" s="1504"/>
      <c r="R225" s="8"/>
      <c r="S225" s="8"/>
      <c r="T225" s="8"/>
      <c r="U225" s="8"/>
      <c r="V225" s="713"/>
      <c r="W225" s="713"/>
      <c r="X225" s="713"/>
      <c r="Y225" s="713"/>
      <c r="Z225" s="713"/>
      <c r="AA225" s="713"/>
      <c r="AB225" s="713"/>
      <c r="AC225" s="713"/>
      <c r="AD225" s="713"/>
      <c r="AE225" s="713"/>
      <c r="AF225" s="713"/>
      <c r="AG225" s="713"/>
      <c r="AH225" s="713"/>
      <c r="AI225" s="713"/>
      <c r="AJ225" s="713"/>
      <c r="AK225" s="713"/>
      <c r="AL225" s="713"/>
      <c r="AM225" s="713"/>
      <c r="AN225" s="713"/>
      <c r="AO225" s="713"/>
      <c r="AP225" s="714"/>
      <c r="AQ225" s="715"/>
      <c r="AR225" s="707"/>
      <c r="AS225" s="707"/>
    </row>
    <row r="226" spans="1:45" s="711" customFormat="1" ht="12.75" customHeight="1" x14ac:dyDescent="0.25">
      <c r="A226" s="710"/>
      <c r="C226" s="11" t="s">
        <v>554</v>
      </c>
      <c r="E226" s="11"/>
      <c r="F226" s="11"/>
      <c r="G226" s="11"/>
      <c r="H226" s="11"/>
      <c r="I226" s="11"/>
      <c r="J226" s="1128" t="s">
        <v>614</v>
      </c>
      <c r="K226" s="1128"/>
      <c r="L226" s="1128"/>
      <c r="M226" s="1128"/>
      <c r="N226" s="1981">
        <v>0</v>
      </c>
      <c r="O226" s="1982"/>
      <c r="P226" s="1983">
        <v>0</v>
      </c>
      <c r="Q226" s="1984"/>
      <c r="R226" s="8"/>
      <c r="S226" s="8"/>
      <c r="T226" s="8"/>
      <c r="U226" s="8"/>
      <c r="V226" s="713"/>
      <c r="W226" s="713"/>
      <c r="X226" s="713"/>
      <c r="Y226" s="713"/>
      <c r="Z226" s="713"/>
      <c r="AA226" s="713"/>
      <c r="AB226" s="713"/>
      <c r="AC226" s="713"/>
      <c r="AD226" s="713"/>
      <c r="AE226" s="713"/>
      <c r="AF226" s="713"/>
      <c r="AG226" s="713"/>
      <c r="AH226" s="713"/>
      <c r="AI226" s="713"/>
      <c r="AJ226" s="713"/>
      <c r="AK226" s="713"/>
      <c r="AL226" s="713"/>
      <c r="AM226" s="713"/>
      <c r="AN226" s="713"/>
      <c r="AO226" s="713"/>
      <c r="AP226" s="714"/>
      <c r="AQ226" s="715"/>
      <c r="AR226" s="707"/>
      <c r="AS226" s="707"/>
    </row>
    <row r="227" spans="1:45" s="711" customFormat="1" ht="12.75" customHeight="1" x14ac:dyDescent="0.25">
      <c r="A227" s="710"/>
      <c r="B227" s="8"/>
      <c r="C227" s="8"/>
      <c r="D227" s="8"/>
      <c r="E227" s="8"/>
      <c r="F227" s="8"/>
      <c r="G227" s="8"/>
      <c r="H227" s="8"/>
      <c r="I227" s="11"/>
      <c r="J227" s="1128"/>
      <c r="K227" s="1128"/>
      <c r="L227" s="1128"/>
      <c r="M227" s="1128"/>
      <c r="N227" s="1128"/>
      <c r="O227" s="1128"/>
      <c r="P227" s="40"/>
      <c r="Q227" s="8"/>
      <c r="R227" s="8"/>
      <c r="S227" s="8"/>
      <c r="T227" s="8"/>
      <c r="U227" s="8"/>
      <c r="V227" s="713"/>
      <c r="W227" s="713"/>
      <c r="X227" s="713"/>
      <c r="Y227" s="713"/>
      <c r="Z227" s="713"/>
      <c r="AA227" s="713"/>
      <c r="AB227" s="713"/>
      <c r="AC227" s="713"/>
      <c r="AD227" s="713"/>
      <c r="AE227" s="713"/>
      <c r="AF227" s="713"/>
      <c r="AG227" s="713"/>
      <c r="AH227" s="713"/>
      <c r="AI227" s="713"/>
      <c r="AJ227" s="713"/>
      <c r="AK227" s="713"/>
      <c r="AL227" s="713"/>
      <c r="AM227" s="713"/>
      <c r="AN227" s="713"/>
      <c r="AO227" s="713"/>
      <c r="AP227" s="714"/>
      <c r="AQ227" s="715"/>
      <c r="AR227" s="707"/>
      <c r="AS227" s="707"/>
    </row>
    <row r="228" spans="1:45" s="711" customFormat="1" ht="12.75" customHeight="1" x14ac:dyDescent="0.25">
      <c r="A228" s="710"/>
      <c r="B228" s="8"/>
      <c r="C228" s="8"/>
      <c r="D228" s="8"/>
      <c r="E228" s="8"/>
      <c r="F228" s="8"/>
      <c r="G228" s="8"/>
      <c r="H228" s="8"/>
      <c r="I228" s="11"/>
      <c r="J228" s="1128"/>
      <c r="K228" s="1128"/>
      <c r="L228" s="1128"/>
      <c r="M228" s="1128"/>
      <c r="N228" s="1128"/>
      <c r="O228" s="1128"/>
      <c r="P228" s="40"/>
      <c r="Q228" s="8"/>
      <c r="R228" s="8"/>
      <c r="S228" s="8"/>
      <c r="T228" s="8"/>
      <c r="U228" s="8"/>
      <c r="V228" s="713"/>
      <c r="W228" s="713"/>
      <c r="X228" s="713"/>
      <c r="Y228" s="713"/>
      <c r="Z228" s="713"/>
      <c r="AA228" s="713"/>
      <c r="AB228" s="713"/>
      <c r="AC228" s="713"/>
      <c r="AD228" s="713"/>
      <c r="AE228" s="713"/>
      <c r="AF228" s="713"/>
      <c r="AG228" s="713"/>
      <c r="AH228" s="713"/>
      <c r="AI228" s="713"/>
      <c r="AJ228" s="713"/>
      <c r="AK228" s="713"/>
      <c r="AL228" s="713"/>
      <c r="AM228" s="713"/>
      <c r="AN228" s="713"/>
      <c r="AO228" s="713"/>
      <c r="AP228" s="714"/>
      <c r="AQ228" s="715"/>
      <c r="AR228" s="707"/>
      <c r="AS228" s="707"/>
    </row>
    <row r="229" spans="1:45" s="711" customFormat="1" ht="12.75" customHeight="1" x14ac:dyDescent="0.25">
      <c r="A229" s="710"/>
      <c r="B229" s="8"/>
      <c r="C229" s="8"/>
      <c r="D229" s="8"/>
      <c r="E229" s="8"/>
      <c r="F229" s="8"/>
      <c r="G229" s="8"/>
      <c r="H229" s="8"/>
      <c r="I229" s="8"/>
      <c r="J229" s="1128"/>
      <c r="K229" s="1128"/>
      <c r="L229" s="1128"/>
      <c r="M229" s="1128"/>
      <c r="N229" s="1583" t="s">
        <v>464</v>
      </c>
      <c r="O229" s="1584"/>
      <c r="P229" s="1584"/>
      <c r="Q229" s="1585"/>
      <c r="R229" s="8"/>
      <c r="S229" s="8"/>
      <c r="T229" s="8"/>
      <c r="U229" s="8"/>
      <c r="V229" s="713"/>
      <c r="W229" s="713"/>
      <c r="X229" s="713"/>
      <c r="Y229" s="713"/>
      <c r="Z229" s="713"/>
      <c r="AA229" s="713"/>
      <c r="AB229" s="713"/>
      <c r="AC229" s="713"/>
      <c r="AD229" s="713"/>
      <c r="AE229" s="713"/>
      <c r="AF229" s="713"/>
      <c r="AG229" s="713"/>
      <c r="AH229" s="713"/>
      <c r="AI229" s="713"/>
      <c r="AJ229" s="713"/>
      <c r="AK229" s="713"/>
      <c r="AL229" s="713"/>
      <c r="AM229" s="713"/>
      <c r="AN229" s="713"/>
      <c r="AO229" s="713"/>
      <c r="AP229" s="714"/>
      <c r="AQ229" s="715"/>
      <c r="AR229" s="707"/>
      <c r="AS229" s="707"/>
    </row>
    <row r="230" spans="1:45" s="711" customFormat="1" ht="12.75" customHeight="1" x14ac:dyDescent="0.25">
      <c r="A230" s="710"/>
      <c r="B230" s="8"/>
      <c r="C230" s="11"/>
      <c r="D230" s="11"/>
      <c r="E230" s="11"/>
      <c r="F230" s="11"/>
      <c r="G230" s="11"/>
      <c r="H230" s="11"/>
      <c r="I230" s="8"/>
      <c r="J230" s="1128"/>
      <c r="K230" s="1128"/>
      <c r="L230" s="1128"/>
      <c r="M230" s="1128"/>
      <c r="N230" s="1501" t="s">
        <v>200</v>
      </c>
      <c r="O230" s="1502"/>
      <c r="P230" s="1503" t="s">
        <v>201</v>
      </c>
      <c r="Q230" s="1504"/>
      <c r="R230" s="8"/>
      <c r="S230" s="8"/>
      <c r="T230" s="8"/>
      <c r="U230" s="8"/>
      <c r="V230" s="713"/>
      <c r="W230" s="713"/>
      <c r="X230" s="713"/>
      <c r="Y230" s="713"/>
      <c r="Z230" s="713"/>
      <c r="AA230" s="713"/>
      <c r="AB230" s="713"/>
      <c r="AC230" s="713"/>
      <c r="AD230" s="713"/>
      <c r="AE230" s="713"/>
      <c r="AF230" s="713"/>
      <c r="AG230" s="713"/>
      <c r="AH230" s="713"/>
      <c r="AI230" s="713"/>
      <c r="AJ230" s="713"/>
      <c r="AK230" s="713"/>
      <c r="AL230" s="713"/>
      <c r="AM230" s="713"/>
      <c r="AN230" s="713"/>
      <c r="AO230" s="713"/>
      <c r="AP230" s="714"/>
      <c r="AQ230" s="715"/>
      <c r="AR230" s="707"/>
      <c r="AS230" s="707"/>
    </row>
    <row r="231" spans="1:45" s="711" customFormat="1" ht="12.75" customHeight="1" x14ac:dyDescent="0.25">
      <c r="A231" s="710"/>
      <c r="B231" s="8"/>
      <c r="C231" s="11" t="s">
        <v>146</v>
      </c>
      <c r="D231" s="11"/>
      <c r="E231" s="11"/>
      <c r="F231" s="11"/>
      <c r="G231" s="11"/>
      <c r="H231" s="11"/>
      <c r="I231" s="8"/>
      <c r="J231" s="1128"/>
      <c r="K231" s="1128"/>
      <c r="L231" s="1128"/>
      <c r="M231" s="1128"/>
      <c r="N231" s="2046"/>
      <c r="O231" s="2047"/>
      <c r="P231" s="2048"/>
      <c r="Q231" s="2049"/>
      <c r="R231" s="8"/>
      <c r="S231" s="8"/>
      <c r="T231" s="8"/>
      <c r="U231" s="8"/>
      <c r="V231" s="713"/>
      <c r="W231" s="713"/>
      <c r="X231" s="713"/>
      <c r="Y231" s="713"/>
      <c r="Z231" s="713"/>
      <c r="AA231" s="713"/>
      <c r="AB231" s="713"/>
      <c r="AC231" s="713"/>
      <c r="AD231" s="713"/>
      <c r="AE231" s="713"/>
      <c r="AF231" s="713"/>
      <c r="AG231" s="713"/>
      <c r="AH231" s="713"/>
      <c r="AI231" s="713"/>
      <c r="AJ231" s="713"/>
      <c r="AK231" s="713"/>
      <c r="AL231" s="713"/>
      <c r="AM231" s="713"/>
      <c r="AN231" s="713"/>
      <c r="AO231" s="713"/>
      <c r="AP231" s="714"/>
      <c r="AQ231" s="715"/>
      <c r="AR231" s="707"/>
      <c r="AS231" s="707"/>
    </row>
    <row r="232" spans="1:45" s="711" customFormat="1" ht="12.75" customHeight="1" x14ac:dyDescent="0.25">
      <c r="A232" s="710"/>
      <c r="B232" s="8"/>
      <c r="C232" s="11"/>
      <c r="D232" s="11" t="s">
        <v>245</v>
      </c>
      <c r="E232" s="11"/>
      <c r="F232" s="11"/>
      <c r="G232" s="11"/>
      <c r="H232" s="11"/>
      <c r="I232" s="8"/>
      <c r="J232" s="1128"/>
      <c r="K232" s="1128"/>
      <c r="L232" s="1128"/>
      <c r="M232" s="1128"/>
      <c r="N232" s="1985">
        <v>0</v>
      </c>
      <c r="O232" s="1986"/>
      <c r="P232" s="1987">
        <v>0</v>
      </c>
      <c r="Q232" s="1988"/>
      <c r="R232" s="8"/>
      <c r="S232" s="8"/>
      <c r="T232" s="8"/>
      <c r="U232" s="8"/>
      <c r="V232" s="713"/>
      <c r="W232" s="713"/>
      <c r="X232" s="713"/>
      <c r="Y232" s="713"/>
      <c r="Z232" s="713"/>
      <c r="AA232" s="713"/>
      <c r="AB232" s="713"/>
      <c r="AC232" s="713"/>
      <c r="AD232" s="713"/>
      <c r="AE232" s="713"/>
      <c r="AF232" s="713"/>
      <c r="AG232" s="713"/>
      <c r="AH232" s="713"/>
      <c r="AI232" s="713"/>
      <c r="AJ232" s="713"/>
      <c r="AK232" s="713"/>
      <c r="AL232" s="713"/>
      <c r="AM232" s="713"/>
      <c r="AN232" s="713"/>
      <c r="AO232" s="713"/>
      <c r="AP232" s="714"/>
      <c r="AQ232" s="715"/>
      <c r="AR232" s="707"/>
      <c r="AS232" s="707"/>
    </row>
    <row r="233" spans="1:45" s="711" customFormat="1" ht="12.75" customHeight="1" x14ac:dyDescent="0.25">
      <c r="A233" s="710"/>
      <c r="B233" s="8"/>
      <c r="C233" s="8"/>
      <c r="D233" s="8" t="s">
        <v>471</v>
      </c>
      <c r="E233" s="8"/>
      <c r="F233" s="8"/>
      <c r="G233" s="8"/>
      <c r="H233" s="8"/>
      <c r="I233" s="8"/>
      <c r="J233" s="1112" t="s">
        <v>154</v>
      </c>
      <c r="K233" s="1112"/>
      <c r="L233" s="1112"/>
      <c r="M233" s="1112"/>
      <c r="N233" s="1995">
        <v>0</v>
      </c>
      <c r="O233" s="1996"/>
      <c r="P233" s="1993">
        <v>0</v>
      </c>
      <c r="Q233" s="1994"/>
      <c r="R233" s="8"/>
      <c r="S233" s="8"/>
      <c r="T233" s="8"/>
      <c r="U233" s="8"/>
      <c r="V233" s="713"/>
      <c r="W233" s="713"/>
      <c r="X233" s="713"/>
      <c r="Y233" s="713"/>
      <c r="Z233" s="713"/>
      <c r="AA233" s="713"/>
      <c r="AB233" s="713"/>
      <c r="AC233" s="713"/>
      <c r="AD233" s="713"/>
      <c r="AE233" s="713"/>
      <c r="AF233" s="713"/>
      <c r="AG233" s="713"/>
      <c r="AH233" s="713"/>
      <c r="AI233" s="713"/>
      <c r="AJ233" s="713"/>
      <c r="AK233" s="713"/>
      <c r="AL233" s="713"/>
      <c r="AM233" s="713"/>
      <c r="AN233" s="713"/>
      <c r="AO233" s="713"/>
      <c r="AP233" s="714"/>
      <c r="AQ233" s="715"/>
      <c r="AR233" s="707"/>
      <c r="AS233" s="707"/>
    </row>
    <row r="234" spans="1:45" s="711" customFormat="1" ht="12.75" customHeight="1" x14ac:dyDescent="0.25">
      <c r="A234" s="710"/>
      <c r="B234" s="8"/>
      <c r="C234" s="8"/>
      <c r="D234" s="1111" t="s">
        <v>533</v>
      </c>
      <c r="E234" s="8"/>
      <c r="F234" s="8"/>
      <c r="G234" s="8"/>
      <c r="H234" s="8"/>
      <c r="I234" s="8"/>
      <c r="J234" s="1112" t="s">
        <v>154</v>
      </c>
      <c r="K234" s="1112"/>
      <c r="L234" s="1112"/>
      <c r="M234" s="1112"/>
      <c r="N234" s="1995">
        <v>0</v>
      </c>
      <c r="O234" s="1996"/>
      <c r="P234" s="1993">
        <v>0</v>
      </c>
      <c r="Q234" s="1994"/>
      <c r="R234" s="8"/>
      <c r="S234" s="8"/>
      <c r="T234" s="8"/>
      <c r="U234" s="8"/>
      <c r="V234" s="713"/>
      <c r="W234" s="713"/>
      <c r="X234" s="713"/>
      <c r="Y234" s="713"/>
      <c r="Z234" s="713"/>
      <c r="AA234" s="713"/>
      <c r="AB234" s="713"/>
      <c r="AC234" s="713"/>
      <c r="AD234" s="713"/>
      <c r="AE234" s="713"/>
      <c r="AF234" s="713"/>
      <c r="AG234" s="713"/>
      <c r="AH234" s="713"/>
      <c r="AI234" s="713"/>
      <c r="AJ234" s="713"/>
      <c r="AK234" s="713"/>
      <c r="AL234" s="713"/>
      <c r="AM234" s="713"/>
      <c r="AN234" s="713"/>
      <c r="AO234" s="713"/>
      <c r="AP234" s="714"/>
      <c r="AQ234" s="715"/>
      <c r="AR234" s="707"/>
      <c r="AS234" s="707"/>
    </row>
    <row r="235" spans="1:45" s="711" customFormat="1" ht="12.75" customHeight="1" x14ac:dyDescent="0.25">
      <c r="A235" s="710"/>
      <c r="B235" s="8"/>
      <c r="C235" s="8"/>
      <c r="D235" s="8" t="s">
        <v>306</v>
      </c>
      <c r="E235" s="8"/>
      <c r="F235" s="8"/>
      <c r="G235" s="8"/>
      <c r="H235" s="8"/>
      <c r="I235" s="8"/>
      <c r="J235" s="1112" t="s">
        <v>154</v>
      </c>
      <c r="K235" s="1112"/>
      <c r="L235" s="1112"/>
      <c r="M235" s="1112"/>
      <c r="N235" s="1995">
        <v>0</v>
      </c>
      <c r="O235" s="1996"/>
      <c r="P235" s="1993">
        <v>0</v>
      </c>
      <c r="Q235" s="1994"/>
      <c r="R235" s="8"/>
      <c r="S235" s="8"/>
      <c r="T235" s="8"/>
      <c r="U235" s="8"/>
      <c r="V235" s="713"/>
      <c r="W235" s="713"/>
      <c r="X235" s="713"/>
      <c r="Y235" s="713"/>
      <c r="Z235" s="713"/>
      <c r="AA235" s="713"/>
      <c r="AB235" s="713"/>
      <c r="AC235" s="713"/>
      <c r="AD235" s="713"/>
      <c r="AE235" s="713"/>
      <c r="AF235" s="713"/>
      <c r="AG235" s="713"/>
      <c r="AH235" s="713"/>
      <c r="AI235" s="713"/>
      <c r="AJ235" s="713"/>
      <c r="AK235" s="713"/>
      <c r="AL235" s="713"/>
      <c r="AM235" s="713"/>
      <c r="AN235" s="713"/>
      <c r="AO235" s="713"/>
      <c r="AP235" s="714"/>
      <c r="AQ235" s="715"/>
      <c r="AR235" s="707"/>
      <c r="AS235" s="707"/>
    </row>
    <row r="236" spans="1:45" s="711" customFormat="1" ht="12.75" customHeight="1" x14ac:dyDescent="0.25">
      <c r="A236" s="710"/>
      <c r="B236" s="8"/>
      <c r="C236" s="8"/>
      <c r="D236" s="8" t="s">
        <v>305</v>
      </c>
      <c r="E236" s="8"/>
      <c r="F236" s="8"/>
      <c r="G236" s="8"/>
      <c r="H236" s="8"/>
      <c r="I236" s="8"/>
      <c r="J236" s="1112" t="s">
        <v>154</v>
      </c>
      <c r="K236" s="1112"/>
      <c r="L236" s="1112"/>
      <c r="M236" s="1112"/>
      <c r="N236" s="1995">
        <v>0</v>
      </c>
      <c r="O236" s="1996"/>
      <c r="P236" s="1993">
        <v>0</v>
      </c>
      <c r="Q236" s="1994"/>
      <c r="R236" s="8"/>
      <c r="S236" s="8"/>
      <c r="T236" s="8"/>
      <c r="U236" s="8"/>
      <c r="V236" s="713"/>
      <c r="W236" s="713"/>
      <c r="X236" s="713"/>
      <c r="Y236" s="713"/>
      <c r="Z236" s="713"/>
      <c r="AA236" s="713"/>
      <c r="AB236" s="713"/>
      <c r="AC236" s="713"/>
      <c r="AD236" s="713"/>
      <c r="AE236" s="713"/>
      <c r="AF236" s="713"/>
      <c r="AG236" s="713"/>
      <c r="AH236" s="713"/>
      <c r="AI236" s="713"/>
      <c r="AJ236" s="713"/>
      <c r="AK236" s="713"/>
      <c r="AL236" s="713"/>
      <c r="AM236" s="713"/>
      <c r="AN236" s="713"/>
      <c r="AO236" s="713"/>
      <c r="AP236" s="714"/>
      <c r="AQ236" s="715"/>
      <c r="AR236" s="707"/>
      <c r="AS236" s="707"/>
    </row>
    <row r="237" spans="1:45" s="711" customFormat="1" ht="12.75" customHeight="1" x14ac:dyDescent="0.25">
      <c r="A237" s="710"/>
      <c r="B237" s="8"/>
      <c r="C237" s="8"/>
      <c r="D237" s="8"/>
      <c r="E237" s="8"/>
      <c r="F237" s="8"/>
      <c r="G237" s="8"/>
      <c r="H237" s="8"/>
      <c r="I237" s="8"/>
      <c r="J237" s="1112"/>
      <c r="K237" s="1112"/>
      <c r="L237" s="1112"/>
      <c r="M237" s="1112"/>
      <c r="N237" s="1413"/>
      <c r="O237" s="1414"/>
      <c r="P237" s="1415"/>
      <c r="Q237" s="1416"/>
      <c r="R237" s="8"/>
      <c r="S237" s="8"/>
      <c r="T237" s="8"/>
      <c r="U237" s="8"/>
      <c r="V237" s="713"/>
      <c r="W237" s="713"/>
      <c r="X237" s="713"/>
      <c r="Y237" s="713"/>
      <c r="Z237" s="713"/>
      <c r="AA237" s="713"/>
      <c r="AB237" s="713"/>
      <c r="AC237" s="713"/>
      <c r="AD237" s="713"/>
      <c r="AE237" s="713"/>
      <c r="AF237" s="713"/>
      <c r="AG237" s="713"/>
      <c r="AH237" s="713"/>
      <c r="AI237" s="713"/>
      <c r="AJ237" s="713"/>
      <c r="AK237" s="713"/>
      <c r="AL237" s="713"/>
      <c r="AM237" s="713"/>
      <c r="AN237" s="713"/>
      <c r="AO237" s="713"/>
      <c r="AP237" s="714"/>
      <c r="AQ237" s="715"/>
      <c r="AR237" s="707"/>
      <c r="AS237" s="707"/>
    </row>
    <row r="238" spans="1:45" s="711" customFormat="1" ht="12.75" customHeight="1" x14ac:dyDescent="0.25">
      <c r="A238" s="710"/>
      <c r="B238" s="8"/>
      <c r="C238" s="11" t="s">
        <v>147</v>
      </c>
      <c r="D238" s="8"/>
      <c r="E238" s="8"/>
      <c r="F238" s="8"/>
      <c r="G238" s="8"/>
      <c r="H238" s="8"/>
      <c r="I238" s="8"/>
      <c r="J238" s="1112"/>
      <c r="K238" s="1112"/>
      <c r="L238" s="1112"/>
      <c r="M238" s="1112"/>
      <c r="N238" s="1413"/>
      <c r="O238" s="1414"/>
      <c r="P238" s="1415"/>
      <c r="Q238" s="1416"/>
      <c r="R238" s="8"/>
      <c r="S238" s="8"/>
      <c r="T238" s="8"/>
      <c r="U238" s="8"/>
      <c r="V238" s="713"/>
      <c r="W238" s="713"/>
      <c r="X238" s="713"/>
      <c r="Y238" s="713"/>
      <c r="Z238" s="713"/>
      <c r="AA238" s="713"/>
      <c r="AB238" s="713"/>
      <c r="AC238" s="713"/>
      <c r="AD238" s="713"/>
      <c r="AE238" s="713"/>
      <c r="AF238" s="713"/>
      <c r="AG238" s="713"/>
      <c r="AH238" s="713"/>
      <c r="AI238" s="713"/>
      <c r="AJ238" s="713"/>
      <c r="AK238" s="713"/>
      <c r="AL238" s="713"/>
      <c r="AM238" s="713"/>
      <c r="AN238" s="713"/>
      <c r="AO238" s="713"/>
      <c r="AP238" s="714"/>
      <c r="AQ238" s="715"/>
      <c r="AR238" s="707"/>
      <c r="AS238" s="707"/>
    </row>
    <row r="239" spans="1:45" s="711" customFormat="1" ht="12.75" customHeight="1" x14ac:dyDescent="0.25">
      <c r="A239" s="710"/>
      <c r="B239" s="8"/>
      <c r="C239" s="8"/>
      <c r="D239" s="11" t="s">
        <v>245</v>
      </c>
      <c r="E239" s="11"/>
      <c r="F239" s="11"/>
      <c r="G239" s="11"/>
      <c r="H239" s="11"/>
      <c r="I239" s="8"/>
      <c r="J239" s="1115"/>
      <c r="K239" s="1115"/>
      <c r="L239" s="1115"/>
      <c r="M239" s="1115"/>
      <c r="N239" s="1995"/>
      <c r="O239" s="2019"/>
      <c r="P239" s="1987">
        <v>0</v>
      </c>
      <c r="Q239" s="1988"/>
      <c r="R239" s="8"/>
      <c r="S239" s="8"/>
      <c r="T239" s="8"/>
      <c r="U239" s="8"/>
      <c r="V239" s="713"/>
      <c r="W239" s="713"/>
      <c r="X239" s="713"/>
      <c r="Y239" s="713"/>
      <c r="Z239" s="713"/>
      <c r="AA239" s="713"/>
      <c r="AB239" s="713"/>
      <c r="AC239" s="713"/>
      <c r="AD239" s="713"/>
      <c r="AE239" s="713"/>
      <c r="AF239" s="713"/>
      <c r="AG239" s="713"/>
      <c r="AH239" s="713"/>
      <c r="AI239" s="713"/>
      <c r="AJ239" s="713"/>
      <c r="AK239" s="713"/>
      <c r="AL239" s="713"/>
      <c r="AM239" s="713"/>
      <c r="AN239" s="713"/>
      <c r="AO239" s="713"/>
      <c r="AP239" s="714"/>
      <c r="AQ239" s="715"/>
      <c r="AR239" s="707"/>
      <c r="AS239" s="707"/>
    </row>
    <row r="240" spans="1:45" s="711" customFormat="1" ht="12.75" customHeight="1" x14ac:dyDescent="0.25">
      <c r="A240" s="710"/>
      <c r="B240" s="8"/>
      <c r="C240" s="8"/>
      <c r="D240" s="8" t="s">
        <v>306</v>
      </c>
      <c r="E240" s="8"/>
      <c r="F240" s="8"/>
      <c r="G240" s="8"/>
      <c r="H240" s="8"/>
      <c r="I240" s="8"/>
      <c r="J240" s="1112" t="s">
        <v>154</v>
      </c>
      <c r="K240" s="1112"/>
      <c r="L240" s="1112"/>
      <c r="M240" s="1112"/>
      <c r="N240" s="1995">
        <v>0</v>
      </c>
      <c r="O240" s="1996"/>
      <c r="P240" s="1993">
        <v>0</v>
      </c>
      <c r="Q240" s="1994"/>
      <c r="R240" s="8"/>
      <c r="S240" s="8"/>
      <c r="T240" s="8"/>
      <c r="U240" s="8"/>
      <c r="V240" s="713"/>
      <c r="W240" s="713"/>
      <c r="X240" s="713"/>
      <c r="Y240" s="713"/>
      <c r="Z240" s="713"/>
      <c r="AA240" s="713"/>
      <c r="AB240" s="713"/>
      <c r="AC240" s="713"/>
      <c r="AD240" s="713"/>
      <c r="AE240" s="713"/>
      <c r="AF240" s="713"/>
      <c r="AG240" s="713"/>
      <c r="AH240" s="713"/>
      <c r="AI240" s="713"/>
      <c r="AJ240" s="713"/>
      <c r="AK240" s="713"/>
      <c r="AL240" s="713"/>
      <c r="AM240" s="713"/>
      <c r="AN240" s="713"/>
      <c r="AO240" s="713"/>
      <c r="AP240" s="714"/>
      <c r="AQ240" s="715"/>
      <c r="AR240" s="707"/>
      <c r="AS240" s="707"/>
    </row>
    <row r="241" spans="1:45" s="711" customFormat="1" ht="12.75" customHeight="1" x14ac:dyDescent="0.25">
      <c r="A241" s="710"/>
      <c r="B241" s="8"/>
      <c r="C241" s="8"/>
      <c r="D241" s="8" t="s">
        <v>305</v>
      </c>
      <c r="E241" s="8"/>
      <c r="F241" s="8"/>
      <c r="G241" s="8"/>
      <c r="H241" s="8"/>
      <c r="I241" s="8"/>
      <c r="J241" s="1112" t="s">
        <v>154</v>
      </c>
      <c r="K241" s="1112"/>
      <c r="L241" s="1112"/>
      <c r="M241" s="1112"/>
      <c r="N241" s="1995">
        <v>0</v>
      </c>
      <c r="O241" s="1996"/>
      <c r="P241" s="1993">
        <v>0</v>
      </c>
      <c r="Q241" s="1994"/>
      <c r="R241" s="8"/>
      <c r="S241" s="8"/>
      <c r="T241" s="8"/>
      <c r="U241" s="8"/>
      <c r="V241" s="713"/>
      <c r="W241" s="713"/>
      <c r="X241" s="713"/>
      <c r="Y241" s="713"/>
      <c r="Z241" s="713"/>
      <c r="AA241" s="713"/>
      <c r="AB241" s="713"/>
      <c r="AC241" s="713"/>
      <c r="AD241" s="713"/>
      <c r="AE241" s="713"/>
      <c r="AF241" s="713"/>
      <c r="AG241" s="713"/>
      <c r="AH241" s="713"/>
      <c r="AI241" s="713"/>
      <c r="AJ241" s="713"/>
      <c r="AK241" s="713"/>
      <c r="AL241" s="713"/>
      <c r="AM241" s="713"/>
      <c r="AN241" s="713"/>
      <c r="AO241" s="713"/>
      <c r="AP241" s="714"/>
      <c r="AQ241" s="715"/>
      <c r="AR241" s="707"/>
      <c r="AS241" s="707"/>
    </row>
    <row r="242" spans="1:45" s="711" customFormat="1" ht="12.75" customHeight="1" x14ac:dyDescent="0.25">
      <c r="A242" s="710"/>
      <c r="B242" s="8"/>
      <c r="C242" s="8"/>
      <c r="D242" s="1634" t="s">
        <v>534</v>
      </c>
      <c r="E242" s="1634"/>
      <c r="F242" s="1634"/>
      <c r="G242" s="1634"/>
      <c r="H242" s="1634"/>
      <c r="I242" s="1634"/>
      <c r="J242" s="1112" t="s">
        <v>154</v>
      </c>
      <c r="K242" s="1112"/>
      <c r="L242" s="1112"/>
      <c r="M242" s="1112"/>
      <c r="N242" s="1995">
        <v>0</v>
      </c>
      <c r="O242" s="1996"/>
      <c r="P242" s="1993">
        <v>0</v>
      </c>
      <c r="Q242" s="1994"/>
      <c r="R242" s="29"/>
      <c r="S242" s="8"/>
      <c r="T242" s="8"/>
      <c r="U242" s="8"/>
      <c r="V242" s="713"/>
      <c r="W242" s="713"/>
      <c r="X242" s="713"/>
      <c r="Y242" s="713"/>
      <c r="Z242" s="713"/>
      <c r="AA242" s="713"/>
      <c r="AB242" s="713"/>
      <c r="AC242" s="713"/>
      <c r="AD242" s="713"/>
      <c r="AE242" s="713"/>
      <c r="AF242" s="713"/>
      <c r="AG242" s="713"/>
      <c r="AH242" s="713"/>
      <c r="AI242" s="713"/>
      <c r="AJ242" s="713"/>
      <c r="AK242" s="713"/>
      <c r="AL242" s="713"/>
      <c r="AM242" s="713"/>
      <c r="AN242" s="713"/>
      <c r="AO242" s="713"/>
      <c r="AP242" s="714"/>
      <c r="AQ242" s="715"/>
      <c r="AR242" s="707"/>
      <c r="AS242" s="707"/>
    </row>
    <row r="243" spans="1:45" s="711" customFormat="1" ht="12.75" customHeight="1" x14ac:dyDescent="0.25">
      <c r="A243" s="710"/>
      <c r="B243" s="8"/>
      <c r="C243" s="8"/>
      <c r="D243" s="1634" t="s">
        <v>535</v>
      </c>
      <c r="E243" s="1634"/>
      <c r="F243" s="1634"/>
      <c r="G243" s="1634"/>
      <c r="H243" s="1634"/>
      <c r="I243" s="1634"/>
      <c r="J243" s="1112" t="s">
        <v>154</v>
      </c>
      <c r="K243" s="1112"/>
      <c r="L243" s="1112"/>
      <c r="M243" s="1112"/>
      <c r="N243" s="1995"/>
      <c r="O243" s="1996"/>
      <c r="P243" s="1993">
        <v>0</v>
      </c>
      <c r="Q243" s="1994"/>
      <c r="R243" s="8"/>
      <c r="S243" s="8"/>
      <c r="T243" s="8"/>
      <c r="U243" s="8"/>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4"/>
      <c r="AQ243" s="715"/>
      <c r="AR243" s="707"/>
      <c r="AS243" s="707"/>
    </row>
    <row r="244" spans="1:45" s="711" customFormat="1" ht="12.75" customHeight="1" x14ac:dyDescent="0.25">
      <c r="A244" s="710"/>
      <c r="B244" s="8"/>
      <c r="C244" s="8"/>
      <c r="D244" s="8"/>
      <c r="E244" s="8"/>
      <c r="F244" s="8"/>
      <c r="G244" s="8"/>
      <c r="H244" s="8"/>
      <c r="I244" s="8"/>
      <c r="J244" s="1112"/>
      <c r="K244" s="1112"/>
      <c r="L244" s="1112"/>
      <c r="M244" s="1112"/>
      <c r="N244" s="1413"/>
      <c r="O244" s="1414"/>
      <c r="P244" s="1415"/>
      <c r="Q244" s="1416"/>
      <c r="R244" s="8"/>
      <c r="S244" s="8"/>
      <c r="T244" s="8"/>
      <c r="U244" s="8"/>
      <c r="V244" s="713"/>
      <c r="W244" s="713"/>
      <c r="X244" s="713"/>
      <c r="Y244" s="713"/>
      <c r="Z244" s="713"/>
      <c r="AA244" s="713"/>
      <c r="AB244" s="713"/>
      <c r="AC244" s="713"/>
      <c r="AD244" s="713"/>
      <c r="AE244" s="713"/>
      <c r="AF244" s="713"/>
      <c r="AG244" s="713"/>
      <c r="AH244" s="713"/>
      <c r="AI244" s="713"/>
      <c r="AJ244" s="713"/>
      <c r="AK244" s="713"/>
      <c r="AL244" s="713"/>
      <c r="AM244" s="713"/>
      <c r="AN244" s="713"/>
      <c r="AO244" s="713"/>
      <c r="AP244" s="714"/>
      <c r="AQ244" s="715"/>
      <c r="AR244" s="707"/>
      <c r="AS244" s="707"/>
    </row>
    <row r="245" spans="1:45" s="711" customFormat="1" ht="12.75" customHeight="1" x14ac:dyDescent="0.25">
      <c r="A245" s="710"/>
      <c r="B245" s="8"/>
      <c r="C245" s="11" t="s">
        <v>186</v>
      </c>
      <c r="D245" s="11"/>
      <c r="E245" s="11"/>
      <c r="F245" s="11"/>
      <c r="G245" s="11"/>
      <c r="H245" s="11"/>
      <c r="I245" s="8"/>
      <c r="J245" s="747"/>
      <c r="K245" s="747"/>
      <c r="L245" s="747"/>
      <c r="M245" s="747"/>
      <c r="N245" s="1989"/>
      <c r="O245" s="1990"/>
      <c r="P245" s="1991"/>
      <c r="Q245" s="1992"/>
      <c r="R245" s="8"/>
      <c r="S245" s="8"/>
      <c r="T245" s="8"/>
      <c r="U245" s="8"/>
      <c r="V245" s="713"/>
      <c r="W245" s="713"/>
      <c r="X245" s="713"/>
      <c r="Y245" s="713"/>
      <c r="Z245" s="713"/>
      <c r="AA245" s="713"/>
      <c r="AB245" s="713"/>
      <c r="AC245" s="713"/>
      <c r="AD245" s="713"/>
      <c r="AE245" s="713"/>
      <c r="AF245" s="713"/>
      <c r="AG245" s="713"/>
      <c r="AH245" s="713"/>
      <c r="AI245" s="713"/>
      <c r="AJ245" s="713"/>
      <c r="AK245" s="713"/>
      <c r="AL245" s="713"/>
      <c r="AM245" s="713"/>
      <c r="AN245" s="713"/>
      <c r="AO245" s="713"/>
      <c r="AP245" s="714"/>
      <c r="AQ245" s="715"/>
      <c r="AR245" s="707"/>
      <c r="AS245" s="707"/>
    </row>
    <row r="246" spans="1:45" s="711" customFormat="1" ht="12.75" customHeight="1" x14ac:dyDescent="0.25">
      <c r="A246" s="710"/>
      <c r="B246" s="8"/>
      <c r="C246" s="8"/>
      <c r="D246" s="8" t="s">
        <v>472</v>
      </c>
      <c r="E246" s="8"/>
      <c r="F246" s="8"/>
      <c r="G246" s="8"/>
      <c r="H246" s="8"/>
      <c r="I246" s="8"/>
      <c r="J246" s="1112" t="s">
        <v>614</v>
      </c>
      <c r="K246" s="1112"/>
      <c r="L246" s="1112"/>
      <c r="M246" s="1112"/>
      <c r="N246" s="2001">
        <v>0</v>
      </c>
      <c r="O246" s="2002"/>
      <c r="P246" s="2003">
        <v>0</v>
      </c>
      <c r="Q246" s="2004"/>
      <c r="R246" s="8"/>
      <c r="S246" s="8"/>
      <c r="T246" s="8"/>
      <c r="U246" s="8"/>
      <c r="V246" s="713"/>
      <c r="W246" s="713"/>
      <c r="X246" s="713"/>
      <c r="Y246" s="713"/>
      <c r="Z246" s="713"/>
      <c r="AA246" s="713"/>
      <c r="AB246" s="713"/>
      <c r="AC246" s="713"/>
      <c r="AD246" s="713"/>
      <c r="AE246" s="713"/>
      <c r="AF246" s="713"/>
      <c r="AG246" s="713"/>
      <c r="AH246" s="713"/>
      <c r="AI246" s="713"/>
      <c r="AJ246" s="713"/>
      <c r="AK246" s="713"/>
      <c r="AL246" s="713"/>
      <c r="AM246" s="713"/>
      <c r="AN246" s="713"/>
      <c r="AO246" s="713"/>
      <c r="AP246" s="714"/>
      <c r="AQ246" s="715"/>
      <c r="AR246" s="707"/>
      <c r="AS246" s="707"/>
    </row>
    <row r="247" spans="1:45" s="711" customFormat="1" ht="12.75" customHeight="1" x14ac:dyDescent="0.25">
      <c r="A247" s="710"/>
      <c r="B247" s="8"/>
      <c r="C247" s="8"/>
      <c r="D247" s="8" t="s">
        <v>473</v>
      </c>
      <c r="E247" s="8"/>
      <c r="F247" s="8"/>
      <c r="G247" s="8"/>
      <c r="H247" s="8"/>
      <c r="I247" s="8"/>
      <c r="J247" s="1112" t="s">
        <v>16</v>
      </c>
      <c r="K247" s="1112"/>
      <c r="L247" s="1112"/>
      <c r="M247" s="1112"/>
      <c r="N247" s="1417"/>
      <c r="O247" s="1414"/>
      <c r="P247" s="2017">
        <v>0</v>
      </c>
      <c r="Q247" s="2018"/>
      <c r="R247" s="8"/>
      <c r="S247" s="8"/>
      <c r="T247" s="8"/>
      <c r="U247" s="8"/>
      <c r="V247" s="713"/>
      <c r="W247" s="713"/>
      <c r="X247" s="713"/>
      <c r="Y247" s="713"/>
      <c r="Z247" s="713"/>
      <c r="AA247" s="713"/>
      <c r="AB247" s="713"/>
      <c r="AC247" s="713"/>
      <c r="AD247" s="713"/>
      <c r="AE247" s="713"/>
      <c r="AF247" s="713"/>
      <c r="AG247" s="713"/>
      <c r="AH247" s="713"/>
      <c r="AI247" s="713"/>
      <c r="AJ247" s="713"/>
      <c r="AK247" s="713"/>
      <c r="AL247" s="713"/>
      <c r="AM247" s="713"/>
      <c r="AN247" s="713"/>
      <c r="AO247" s="713"/>
      <c r="AP247" s="714"/>
      <c r="AQ247" s="715"/>
      <c r="AR247" s="707"/>
      <c r="AS247" s="707"/>
    </row>
    <row r="248" spans="1:45" s="711" customFormat="1" ht="12.75" customHeight="1" x14ac:dyDescent="0.25">
      <c r="A248" s="710"/>
      <c r="B248" s="8"/>
      <c r="C248" s="8"/>
      <c r="D248" s="8" t="s">
        <v>276</v>
      </c>
      <c r="E248" s="8"/>
      <c r="F248" s="8"/>
      <c r="G248" s="8"/>
      <c r="H248" s="8"/>
      <c r="I248" s="8"/>
      <c r="J248" s="1112" t="s">
        <v>614</v>
      </c>
      <c r="K248" s="1112"/>
      <c r="L248" s="1112"/>
      <c r="M248" s="1112"/>
      <c r="N248" s="2001">
        <v>0</v>
      </c>
      <c r="O248" s="2002"/>
      <c r="P248" s="2003">
        <v>0</v>
      </c>
      <c r="Q248" s="2004"/>
      <c r="R248" s="8"/>
      <c r="S248" s="8"/>
      <c r="T248" s="8"/>
      <c r="U248" s="8"/>
      <c r="V248" s="713"/>
      <c r="W248" s="713"/>
      <c r="X248" s="713"/>
      <c r="Y248" s="713"/>
      <c r="Z248" s="713"/>
      <c r="AA248" s="713"/>
      <c r="AB248" s="713"/>
      <c r="AC248" s="713"/>
      <c r="AD248" s="713"/>
      <c r="AE248" s="713"/>
      <c r="AF248" s="713"/>
      <c r="AG248" s="713"/>
      <c r="AH248" s="713"/>
      <c r="AI248" s="713"/>
      <c r="AJ248" s="713"/>
      <c r="AK248" s="713"/>
      <c r="AL248" s="713"/>
      <c r="AM248" s="713"/>
      <c r="AN248" s="713"/>
      <c r="AO248" s="713"/>
      <c r="AP248" s="714"/>
      <c r="AQ248" s="715"/>
      <c r="AR248" s="707"/>
      <c r="AS248" s="707"/>
    </row>
    <row r="249" spans="1:45" s="711" customFormat="1" ht="12.75" customHeight="1" x14ac:dyDescent="0.25">
      <c r="A249" s="710"/>
      <c r="B249" s="8"/>
      <c r="C249" s="8"/>
      <c r="D249" s="8" t="s">
        <v>307</v>
      </c>
      <c r="E249" s="8"/>
      <c r="F249" s="8"/>
      <c r="G249" s="8"/>
      <c r="H249" s="8"/>
      <c r="I249" s="8"/>
      <c r="J249" s="1112" t="s">
        <v>614</v>
      </c>
      <c r="K249" s="1112"/>
      <c r="L249" s="1112"/>
      <c r="M249" s="1112"/>
      <c r="N249" s="2001">
        <v>0</v>
      </c>
      <c r="O249" s="2002"/>
      <c r="P249" s="2003">
        <v>0</v>
      </c>
      <c r="Q249" s="2004"/>
      <c r="R249" s="8"/>
      <c r="S249" s="8"/>
      <c r="T249" s="8"/>
      <c r="U249" s="8"/>
      <c r="V249" s="713"/>
      <c r="W249" s="713"/>
      <c r="X249" s="713"/>
      <c r="Y249" s="713"/>
      <c r="Z249" s="713"/>
      <c r="AA249" s="713"/>
      <c r="AB249" s="713"/>
      <c r="AC249" s="713"/>
      <c r="AD249" s="713"/>
      <c r="AE249" s="713"/>
      <c r="AF249" s="713"/>
      <c r="AG249" s="713"/>
      <c r="AH249" s="713"/>
      <c r="AI249" s="713"/>
      <c r="AJ249" s="713"/>
      <c r="AK249" s="713"/>
      <c r="AL249" s="713"/>
      <c r="AM249" s="713"/>
      <c r="AN249" s="713"/>
      <c r="AO249" s="713"/>
      <c r="AP249" s="714"/>
      <c r="AQ249" s="715"/>
      <c r="AR249" s="707"/>
      <c r="AS249" s="707"/>
    </row>
    <row r="250" spans="1:45" s="711" customFormat="1" ht="12.75" customHeight="1" x14ac:dyDescent="0.25">
      <c r="A250" s="710"/>
      <c r="B250" s="8"/>
      <c r="C250" s="8"/>
      <c r="D250" s="8"/>
      <c r="E250" s="8"/>
      <c r="F250" s="8"/>
      <c r="G250" s="8"/>
      <c r="H250" s="8"/>
      <c r="I250" s="8"/>
      <c r="J250" s="1112"/>
      <c r="K250" s="1112"/>
      <c r="L250" s="1112"/>
      <c r="M250" s="1112"/>
      <c r="N250" s="1417"/>
      <c r="O250" s="1418"/>
      <c r="P250" s="1419"/>
      <c r="Q250" s="1420"/>
      <c r="R250" s="8"/>
      <c r="S250" s="8"/>
      <c r="T250" s="8"/>
      <c r="U250" s="8"/>
      <c r="V250" s="713"/>
      <c r="W250" s="713"/>
      <c r="X250" s="713"/>
      <c r="Y250" s="713"/>
      <c r="Z250" s="713"/>
      <c r="AA250" s="713"/>
      <c r="AB250" s="713"/>
      <c r="AC250" s="713"/>
      <c r="AD250" s="713"/>
      <c r="AE250" s="713"/>
      <c r="AF250" s="713"/>
      <c r="AG250" s="713"/>
      <c r="AH250" s="713"/>
      <c r="AI250" s="713"/>
      <c r="AJ250" s="713"/>
      <c r="AK250" s="713"/>
      <c r="AL250" s="713"/>
      <c r="AM250" s="713"/>
      <c r="AN250" s="713"/>
      <c r="AO250" s="713"/>
      <c r="AP250" s="714"/>
      <c r="AQ250" s="715"/>
      <c r="AR250" s="707"/>
      <c r="AS250" s="707"/>
    </row>
    <row r="251" spans="1:45" s="711" customFormat="1" ht="12.75" customHeight="1" x14ac:dyDescent="0.25">
      <c r="A251" s="710"/>
      <c r="B251" s="8"/>
      <c r="C251" s="11" t="s">
        <v>148</v>
      </c>
      <c r="D251" s="11"/>
      <c r="E251" s="11"/>
      <c r="F251" s="11"/>
      <c r="G251" s="11"/>
      <c r="H251" s="11"/>
      <c r="I251" s="8"/>
      <c r="J251" s="747"/>
      <c r="K251" s="747"/>
      <c r="L251" s="747"/>
      <c r="M251" s="747"/>
      <c r="N251" s="1989"/>
      <c r="O251" s="1990"/>
      <c r="P251" s="1991"/>
      <c r="Q251" s="1992"/>
      <c r="R251" s="8"/>
      <c r="S251" s="8"/>
      <c r="T251" s="8"/>
      <c r="U251" s="8"/>
      <c r="V251" s="713"/>
      <c r="W251" s="713"/>
      <c r="X251" s="713"/>
      <c r="Y251" s="713"/>
      <c r="Z251" s="713"/>
      <c r="AA251" s="713"/>
      <c r="AB251" s="713"/>
      <c r="AC251" s="713"/>
      <c r="AD251" s="713"/>
      <c r="AE251" s="713"/>
      <c r="AF251" s="713"/>
      <c r="AG251" s="713"/>
      <c r="AH251" s="713"/>
      <c r="AI251" s="713"/>
      <c r="AJ251" s="713"/>
      <c r="AK251" s="713"/>
      <c r="AL251" s="713"/>
      <c r="AM251" s="713"/>
      <c r="AN251" s="713"/>
      <c r="AO251" s="713"/>
      <c r="AP251" s="714"/>
      <c r="AQ251" s="715"/>
      <c r="AR251" s="707"/>
      <c r="AS251" s="707"/>
    </row>
    <row r="252" spans="1:45" s="711" customFormat="1" ht="12.75" customHeight="1" x14ac:dyDescent="0.25">
      <c r="A252" s="710"/>
      <c r="B252" s="8"/>
      <c r="C252" s="8"/>
      <c r="D252" s="8"/>
      <c r="E252" s="1411" t="s">
        <v>629</v>
      </c>
      <c r="F252" s="8"/>
      <c r="G252" s="8"/>
      <c r="H252" s="8"/>
      <c r="I252" s="8"/>
      <c r="J252" s="1409" t="s">
        <v>617</v>
      </c>
      <c r="K252" s="1409"/>
      <c r="L252" s="1409"/>
      <c r="M252" s="1409"/>
      <c r="N252" s="1967">
        <v>0</v>
      </c>
      <c r="O252" s="1968"/>
      <c r="P252" s="1969">
        <v>0</v>
      </c>
      <c r="Q252" s="1970"/>
      <c r="R252" s="8"/>
      <c r="S252" s="8"/>
      <c r="T252" s="8"/>
      <c r="U252" s="8"/>
      <c r="V252" s="713"/>
      <c r="W252" s="713"/>
      <c r="X252" s="713"/>
      <c r="Y252" s="713"/>
      <c r="Z252" s="713"/>
      <c r="AA252" s="713"/>
      <c r="AB252" s="713"/>
      <c r="AC252" s="713"/>
      <c r="AD252" s="713"/>
      <c r="AE252" s="713"/>
      <c r="AF252" s="713"/>
      <c r="AG252" s="713"/>
      <c r="AH252" s="713"/>
      <c r="AI252" s="713"/>
      <c r="AJ252" s="713"/>
      <c r="AK252" s="713"/>
      <c r="AL252" s="713"/>
      <c r="AM252" s="713"/>
      <c r="AN252" s="713"/>
      <c r="AO252" s="713"/>
      <c r="AP252" s="714"/>
      <c r="AQ252" s="715"/>
      <c r="AR252" s="707"/>
      <c r="AS252" s="707"/>
    </row>
    <row r="253" spans="1:45" s="711" customFormat="1" ht="12.75" customHeight="1" x14ac:dyDescent="0.25">
      <c r="A253" s="710"/>
      <c r="B253" s="8"/>
      <c r="C253" s="8"/>
      <c r="D253" s="8"/>
      <c r="E253" s="1411" t="s">
        <v>630</v>
      </c>
      <c r="F253" s="8"/>
      <c r="G253" s="8"/>
      <c r="H253" s="8"/>
      <c r="I253" s="8"/>
      <c r="J253" s="1409" t="s">
        <v>617</v>
      </c>
      <c r="K253" s="1409"/>
      <c r="L253" s="1409"/>
      <c r="M253" s="1409"/>
      <c r="N253" s="1967">
        <v>0</v>
      </c>
      <c r="O253" s="1968"/>
      <c r="P253" s="1969">
        <v>0</v>
      </c>
      <c r="Q253" s="1970"/>
      <c r="R253" s="8"/>
      <c r="S253" s="8"/>
      <c r="T253" s="8"/>
      <c r="U253" s="8"/>
      <c r="V253" s="713"/>
      <c r="W253" s="713"/>
      <c r="X253" s="713"/>
      <c r="Y253" s="713"/>
      <c r="Z253" s="713"/>
      <c r="AA253" s="713"/>
      <c r="AB253" s="713"/>
      <c r="AC253" s="713"/>
      <c r="AD253" s="713"/>
      <c r="AE253" s="713"/>
      <c r="AF253" s="713"/>
      <c r="AG253" s="713"/>
      <c r="AH253" s="713"/>
      <c r="AI253" s="713"/>
      <c r="AJ253" s="713"/>
      <c r="AK253" s="713"/>
      <c r="AL253" s="713"/>
      <c r="AM253" s="713"/>
      <c r="AN253" s="713"/>
      <c r="AO253" s="713"/>
      <c r="AP253" s="714"/>
      <c r="AQ253" s="715"/>
      <c r="AR253" s="707"/>
      <c r="AS253" s="707"/>
    </row>
    <row r="254" spans="1:45" s="711" customFormat="1" ht="12.75" customHeight="1" x14ac:dyDescent="0.25">
      <c r="A254" s="710"/>
      <c r="B254" s="8"/>
      <c r="C254" s="8"/>
      <c r="D254" s="8"/>
      <c r="E254" s="1411" t="s">
        <v>631</v>
      </c>
      <c r="F254" s="8"/>
      <c r="G254" s="8"/>
      <c r="H254" s="8"/>
      <c r="I254" s="8"/>
      <c r="J254" s="1409" t="s">
        <v>617</v>
      </c>
      <c r="K254" s="1409"/>
      <c r="L254" s="1409"/>
      <c r="M254" s="1409"/>
      <c r="N254" s="1967">
        <v>0</v>
      </c>
      <c r="O254" s="1968"/>
      <c r="P254" s="1969">
        <v>0</v>
      </c>
      <c r="Q254" s="1970"/>
      <c r="R254" s="8"/>
      <c r="S254" s="8"/>
      <c r="T254" s="8"/>
      <c r="U254" s="8"/>
      <c r="V254" s="713"/>
      <c r="W254" s="713"/>
      <c r="X254" s="713"/>
      <c r="Y254" s="713"/>
      <c r="Z254" s="713"/>
      <c r="AA254" s="713"/>
      <c r="AB254" s="713"/>
      <c r="AC254" s="713"/>
      <c r="AD254" s="713"/>
      <c r="AE254" s="713"/>
      <c r="AF254" s="713"/>
      <c r="AG254" s="713"/>
      <c r="AH254" s="713"/>
      <c r="AI254" s="713"/>
      <c r="AJ254" s="713"/>
      <c r="AK254" s="713"/>
      <c r="AL254" s="713"/>
      <c r="AM254" s="713"/>
      <c r="AN254" s="713"/>
      <c r="AO254" s="713"/>
      <c r="AP254" s="714"/>
      <c r="AQ254" s="715"/>
      <c r="AR254" s="707"/>
      <c r="AS254" s="707"/>
    </row>
    <row r="255" spans="1:45" s="711" customFormat="1" ht="12.75" customHeight="1" x14ac:dyDescent="0.25">
      <c r="A255" s="710"/>
      <c r="B255" s="11"/>
      <c r="C255" s="11"/>
      <c r="D255" s="11" t="s">
        <v>632</v>
      </c>
      <c r="E255" s="11"/>
      <c r="F255" s="11"/>
      <c r="G255" s="11"/>
      <c r="H255" s="11"/>
      <c r="I255" s="11"/>
      <c r="J255" s="1410" t="s">
        <v>617</v>
      </c>
      <c r="K255" s="1410"/>
      <c r="L255" s="1410"/>
      <c r="M255" s="1410"/>
      <c r="N255" s="1971">
        <v>0</v>
      </c>
      <c r="O255" s="1972"/>
      <c r="P255" s="1973">
        <v>0</v>
      </c>
      <c r="Q255" s="1974"/>
      <c r="R255" s="11"/>
      <c r="S255" s="11"/>
      <c r="T255" s="11"/>
      <c r="U255" s="11"/>
      <c r="V255" s="714"/>
      <c r="W255" s="714"/>
      <c r="X255" s="714"/>
      <c r="Y255" s="714"/>
      <c r="Z255" s="714"/>
      <c r="AA255" s="714"/>
      <c r="AB255" s="714"/>
      <c r="AC255" s="714"/>
      <c r="AD255" s="714"/>
      <c r="AE255" s="714"/>
      <c r="AF255" s="714"/>
      <c r="AG255" s="714"/>
      <c r="AH255" s="714"/>
      <c r="AI255" s="714"/>
      <c r="AJ255" s="714"/>
      <c r="AK255" s="714"/>
      <c r="AL255" s="714"/>
      <c r="AM255" s="714"/>
      <c r="AN255" s="714"/>
      <c r="AO255" s="714"/>
      <c r="AP255" s="714"/>
      <c r="AQ255" s="1412"/>
    </row>
    <row r="256" spans="1:45" s="711" customFormat="1" ht="12.75" customHeight="1" x14ac:dyDescent="0.25">
      <c r="A256" s="710"/>
      <c r="B256" s="8"/>
      <c r="C256" s="8"/>
      <c r="D256" s="8" t="s">
        <v>628</v>
      </c>
      <c r="E256" s="8"/>
      <c r="F256" s="8"/>
      <c r="G256" s="8"/>
      <c r="H256" s="8"/>
      <c r="I256" s="8"/>
      <c r="J256" s="1409" t="s">
        <v>16</v>
      </c>
      <c r="K256" s="1409"/>
      <c r="L256" s="1409"/>
      <c r="M256" s="1409"/>
      <c r="N256" s="1421"/>
      <c r="O256" s="1422"/>
      <c r="P256" s="2024">
        <v>0</v>
      </c>
      <c r="Q256" s="2025"/>
      <c r="R256" s="8"/>
      <c r="S256" s="8"/>
      <c r="T256" s="8"/>
      <c r="U256" s="8"/>
      <c r="V256" s="713"/>
      <c r="W256" s="713"/>
      <c r="X256" s="713"/>
      <c r="Y256" s="713"/>
      <c r="Z256" s="713"/>
      <c r="AA256" s="713"/>
      <c r="AB256" s="713"/>
      <c r="AC256" s="713"/>
      <c r="AD256" s="713"/>
      <c r="AE256" s="713"/>
      <c r="AF256" s="713"/>
      <c r="AG256" s="713"/>
      <c r="AH256" s="713"/>
      <c r="AI256" s="713"/>
      <c r="AJ256" s="713"/>
      <c r="AK256" s="713"/>
      <c r="AL256" s="713"/>
      <c r="AM256" s="713"/>
      <c r="AN256" s="713"/>
      <c r="AO256" s="713"/>
      <c r="AP256" s="714"/>
      <c r="AQ256" s="715"/>
      <c r="AR256" s="707"/>
      <c r="AS256" s="707"/>
    </row>
    <row r="257" spans="1:45" s="711" customFormat="1" ht="12.75" customHeight="1" x14ac:dyDescent="0.25">
      <c r="A257" s="710"/>
      <c r="B257" s="8"/>
      <c r="C257" s="8"/>
      <c r="D257" s="1634" t="s">
        <v>536</v>
      </c>
      <c r="E257" s="1634"/>
      <c r="F257" s="1634"/>
      <c r="G257" s="1634"/>
      <c r="H257" s="1634"/>
      <c r="I257" s="1634"/>
      <c r="J257" s="1112" t="s">
        <v>366</v>
      </c>
      <c r="K257" s="1112"/>
      <c r="L257" s="1112"/>
      <c r="M257" s="1112"/>
      <c r="N257" s="2020">
        <v>0</v>
      </c>
      <c r="O257" s="2021"/>
      <c r="P257" s="2022">
        <v>0</v>
      </c>
      <c r="Q257" s="2023"/>
      <c r="R257" s="8"/>
      <c r="S257" s="8"/>
      <c r="T257" s="8"/>
      <c r="U257" s="8"/>
      <c r="V257" s="713"/>
      <c r="W257" s="713"/>
      <c r="X257" s="713"/>
      <c r="Y257" s="713"/>
      <c r="Z257" s="713"/>
      <c r="AA257" s="713"/>
      <c r="AB257" s="713"/>
      <c r="AC257" s="713"/>
      <c r="AD257" s="713"/>
      <c r="AE257" s="713"/>
      <c r="AF257" s="713"/>
      <c r="AG257" s="713"/>
      <c r="AH257" s="713"/>
      <c r="AI257" s="713"/>
      <c r="AJ257" s="713"/>
      <c r="AK257" s="713"/>
      <c r="AL257" s="713"/>
      <c r="AM257" s="713"/>
      <c r="AN257" s="713"/>
      <c r="AO257" s="713"/>
      <c r="AP257" s="714"/>
      <c r="AQ257" s="715"/>
      <c r="AR257" s="707"/>
      <c r="AS257" s="707"/>
    </row>
    <row r="258" spans="1:45" s="711" customFormat="1" ht="12.75" customHeight="1" x14ac:dyDescent="0.25">
      <c r="A258" s="710"/>
      <c r="B258" s="707"/>
      <c r="C258" s="707"/>
      <c r="F258" s="712"/>
      <c r="G258" s="712"/>
      <c r="H258" s="712"/>
      <c r="I258" s="712"/>
      <c r="J258" s="713"/>
      <c r="K258" s="713"/>
      <c r="L258" s="713"/>
      <c r="M258" s="713"/>
      <c r="N258" s="713"/>
      <c r="O258" s="713"/>
      <c r="P258" s="713"/>
      <c r="Q258" s="713"/>
      <c r="R258" s="713"/>
      <c r="S258" s="713"/>
      <c r="T258" s="713"/>
      <c r="U258" s="713"/>
      <c r="V258" s="713"/>
      <c r="W258" s="713"/>
      <c r="X258" s="713"/>
      <c r="Y258" s="713"/>
      <c r="Z258" s="713"/>
      <c r="AA258" s="713"/>
      <c r="AB258" s="713"/>
      <c r="AC258" s="713"/>
      <c r="AD258" s="713"/>
      <c r="AE258" s="713"/>
      <c r="AF258" s="713"/>
      <c r="AG258" s="713"/>
      <c r="AH258" s="713"/>
      <c r="AI258" s="713"/>
      <c r="AJ258" s="713"/>
      <c r="AK258" s="713"/>
      <c r="AL258" s="713"/>
      <c r="AM258" s="713"/>
      <c r="AN258" s="713"/>
      <c r="AO258" s="713"/>
      <c r="AP258" s="714"/>
      <c r="AQ258" s="715"/>
      <c r="AR258" s="707"/>
      <c r="AS258" s="707"/>
    </row>
    <row r="259" spans="1:45" s="711" customFormat="1" ht="12.75" customHeight="1" x14ac:dyDescent="0.25">
      <c r="A259" s="710"/>
      <c r="B259" s="707"/>
      <c r="C259" s="707"/>
      <c r="F259" s="712"/>
      <c r="G259" s="712"/>
      <c r="H259" s="712"/>
      <c r="I259" s="712"/>
      <c r="J259" s="713"/>
      <c r="K259" s="713"/>
      <c r="L259" s="713"/>
      <c r="M259" s="713"/>
      <c r="N259" s="713"/>
      <c r="O259" s="713"/>
      <c r="P259" s="713"/>
      <c r="Q259" s="713"/>
      <c r="R259" s="713"/>
      <c r="S259" s="713"/>
      <c r="T259" s="713"/>
      <c r="U259" s="713"/>
      <c r="V259" s="713"/>
      <c r="W259" s="713"/>
      <c r="X259" s="713"/>
      <c r="Y259" s="713"/>
      <c r="Z259" s="713"/>
      <c r="AA259" s="713"/>
      <c r="AB259" s="713"/>
      <c r="AC259" s="713"/>
      <c r="AD259" s="713"/>
      <c r="AE259" s="713"/>
      <c r="AF259" s="713"/>
      <c r="AG259" s="713"/>
      <c r="AH259" s="713"/>
      <c r="AI259" s="713"/>
      <c r="AJ259" s="713"/>
      <c r="AK259" s="713"/>
      <c r="AL259" s="713"/>
      <c r="AM259" s="713"/>
      <c r="AN259" s="713"/>
      <c r="AO259" s="713"/>
      <c r="AP259" s="714"/>
      <c r="AQ259" s="715"/>
      <c r="AR259" s="707"/>
      <c r="AS259" s="707"/>
    </row>
    <row r="260" spans="1:45" s="711" customFormat="1" ht="12.75" customHeight="1" x14ac:dyDescent="0.25">
      <c r="A260" s="710"/>
      <c r="B260" s="52" t="s">
        <v>595</v>
      </c>
      <c r="C260" s="21"/>
      <c r="D260" s="21"/>
      <c r="E260" s="21"/>
      <c r="F260" s="21"/>
      <c r="G260" s="21"/>
      <c r="H260" s="21"/>
      <c r="I260" s="21"/>
      <c r="J260" s="22"/>
      <c r="K260" s="22"/>
      <c r="L260" s="22"/>
      <c r="M260" s="22"/>
      <c r="N260" s="22"/>
      <c r="O260" s="21"/>
      <c r="P260" s="21"/>
      <c r="Q260" s="21"/>
      <c r="R260" s="21"/>
      <c r="S260" s="21"/>
      <c r="T260" s="21"/>
      <c r="U260" s="21"/>
      <c r="V260" s="713"/>
      <c r="W260" s="713"/>
      <c r="X260" s="713"/>
      <c r="Y260" s="713"/>
      <c r="Z260" s="713"/>
      <c r="AA260" s="713"/>
      <c r="AB260" s="713"/>
      <c r="AC260" s="713"/>
      <c r="AD260" s="713"/>
      <c r="AE260" s="713"/>
      <c r="AF260" s="713"/>
      <c r="AG260" s="713"/>
      <c r="AH260" s="713"/>
      <c r="AI260" s="713"/>
      <c r="AJ260" s="713"/>
      <c r="AK260" s="713"/>
      <c r="AL260" s="713"/>
      <c r="AM260" s="713"/>
      <c r="AN260" s="713"/>
      <c r="AO260" s="713"/>
      <c r="AP260" s="714"/>
      <c r="AQ260" s="715"/>
      <c r="AR260" s="707"/>
      <c r="AS260" s="707"/>
    </row>
    <row r="261" spans="1:45" s="711" customFormat="1" ht="12.75" customHeight="1" x14ac:dyDescent="0.25">
      <c r="A261" s="710"/>
      <c r="B261" s="8"/>
      <c r="C261" s="8"/>
      <c r="D261" s="8"/>
      <c r="E261" s="8"/>
      <c r="F261" s="8"/>
      <c r="G261" s="8"/>
      <c r="H261" s="8"/>
      <c r="I261" s="11"/>
      <c r="J261" s="1115"/>
      <c r="K261" s="1115"/>
      <c r="L261" s="1115"/>
      <c r="M261" s="1115"/>
      <c r="N261" s="1115"/>
      <c r="O261" s="1115"/>
      <c r="P261" s="40"/>
      <c r="Q261" s="8"/>
      <c r="R261" s="8"/>
      <c r="S261" s="8"/>
      <c r="T261" s="8"/>
      <c r="U261" s="8"/>
      <c r="V261" s="713"/>
      <c r="W261" s="713"/>
      <c r="X261" s="713"/>
      <c r="Y261" s="713"/>
      <c r="Z261" s="713"/>
      <c r="AA261" s="713"/>
      <c r="AB261" s="713"/>
      <c r="AC261" s="713"/>
      <c r="AD261" s="713"/>
      <c r="AE261" s="713"/>
      <c r="AF261" s="713"/>
      <c r="AG261" s="713"/>
      <c r="AH261" s="713"/>
      <c r="AI261" s="713"/>
      <c r="AJ261" s="713"/>
      <c r="AK261" s="713"/>
      <c r="AL261" s="713"/>
      <c r="AM261" s="713"/>
      <c r="AN261" s="713"/>
      <c r="AO261" s="713"/>
      <c r="AP261" s="714"/>
      <c r="AQ261" s="715"/>
      <c r="AR261" s="707"/>
      <c r="AS261" s="707"/>
    </row>
    <row r="262" spans="1:45" s="711" customFormat="1" ht="12.75" customHeight="1" x14ac:dyDescent="0.25">
      <c r="A262" s="710"/>
      <c r="B262" s="8"/>
      <c r="C262" s="8"/>
      <c r="D262" s="8"/>
      <c r="E262" s="8"/>
      <c r="F262" s="8"/>
      <c r="G262" s="8"/>
      <c r="H262" s="8"/>
      <c r="I262" s="11"/>
      <c r="J262" s="1115"/>
      <c r="K262" s="1115"/>
      <c r="L262" s="1115"/>
      <c r="M262" s="1115"/>
      <c r="N262" s="1115"/>
      <c r="O262" s="1115"/>
      <c r="P262" s="40"/>
      <c r="Q262" s="8"/>
      <c r="R262" s="8"/>
      <c r="S262" s="8"/>
      <c r="T262" s="8"/>
      <c r="U262" s="8"/>
      <c r="V262" s="713"/>
      <c r="W262" s="713"/>
      <c r="X262" s="713"/>
      <c r="Y262" s="713"/>
      <c r="Z262" s="713"/>
      <c r="AA262" s="713"/>
      <c r="AB262" s="713"/>
      <c r="AC262" s="713"/>
      <c r="AD262" s="713"/>
      <c r="AE262" s="713"/>
      <c r="AF262" s="713"/>
      <c r="AG262" s="713"/>
      <c r="AH262" s="713"/>
      <c r="AI262" s="713"/>
      <c r="AJ262" s="713"/>
      <c r="AK262" s="713"/>
      <c r="AL262" s="713"/>
      <c r="AM262" s="713"/>
      <c r="AN262" s="713"/>
      <c r="AO262" s="713"/>
      <c r="AP262" s="714"/>
      <c r="AQ262" s="715"/>
      <c r="AR262" s="707"/>
      <c r="AS262" s="707"/>
    </row>
    <row r="263" spans="1:45" s="711" customFormat="1" ht="12.75" customHeight="1" x14ac:dyDescent="0.25">
      <c r="A263" s="710"/>
      <c r="B263" s="8"/>
      <c r="C263" s="8"/>
      <c r="D263" s="8"/>
      <c r="E263" s="8"/>
      <c r="F263" s="8"/>
      <c r="G263" s="8"/>
      <c r="H263" s="8"/>
      <c r="I263" s="8"/>
      <c r="J263" s="1127"/>
      <c r="K263" s="1127"/>
      <c r="L263" s="1127"/>
      <c r="M263" s="1127"/>
      <c r="N263" s="1518" t="s">
        <v>548</v>
      </c>
      <c r="O263" s="1553"/>
      <c r="P263" s="1553"/>
      <c r="Q263" s="1554"/>
      <c r="R263" s="8"/>
      <c r="S263" s="8"/>
      <c r="T263" s="8"/>
      <c r="U263" s="8"/>
      <c r="V263" s="713"/>
      <c r="W263" s="713"/>
      <c r="X263" s="713"/>
      <c r="Y263" s="713"/>
      <c r="Z263" s="713"/>
      <c r="AA263" s="713"/>
      <c r="AB263" s="713"/>
      <c r="AC263" s="713"/>
      <c r="AD263" s="713"/>
      <c r="AE263" s="713"/>
      <c r="AF263" s="713"/>
      <c r="AG263" s="713"/>
      <c r="AH263" s="713"/>
      <c r="AI263" s="713"/>
      <c r="AJ263" s="713"/>
      <c r="AK263" s="713"/>
      <c r="AL263" s="713"/>
      <c r="AM263" s="713"/>
      <c r="AN263" s="713"/>
      <c r="AO263" s="713"/>
      <c r="AP263" s="714"/>
      <c r="AQ263" s="715"/>
      <c r="AR263" s="707"/>
      <c r="AS263" s="707"/>
    </row>
    <row r="264" spans="1:45" s="711" customFormat="1" ht="12.75" customHeight="1" x14ac:dyDescent="0.25">
      <c r="A264" s="710"/>
      <c r="B264" s="8"/>
      <c r="C264" s="8"/>
      <c r="D264" s="8"/>
      <c r="E264" s="8"/>
      <c r="F264" s="8"/>
      <c r="G264" s="8"/>
      <c r="H264" s="8"/>
      <c r="I264" s="8"/>
      <c r="J264" s="1127"/>
      <c r="K264" s="1127"/>
      <c r="L264" s="1127"/>
      <c r="M264" s="1127"/>
      <c r="N264" s="1501" t="s">
        <v>200</v>
      </c>
      <c r="O264" s="1502"/>
      <c r="P264" s="1503" t="s">
        <v>201</v>
      </c>
      <c r="Q264" s="1504"/>
      <c r="R264" s="8"/>
      <c r="S264" s="8"/>
      <c r="T264" s="8"/>
      <c r="U264" s="8"/>
      <c r="V264" s="713"/>
      <c r="W264" s="713"/>
      <c r="X264" s="713"/>
      <c r="Y264" s="713"/>
      <c r="Z264" s="713"/>
      <c r="AA264" s="713"/>
      <c r="AB264" s="713"/>
      <c r="AC264" s="713"/>
      <c r="AD264" s="713"/>
      <c r="AE264" s="713"/>
      <c r="AF264" s="713"/>
      <c r="AG264" s="713"/>
      <c r="AH264" s="713"/>
      <c r="AI264" s="713"/>
      <c r="AJ264" s="713"/>
      <c r="AK264" s="713"/>
      <c r="AL264" s="713"/>
      <c r="AM264" s="713"/>
      <c r="AN264" s="713"/>
      <c r="AO264" s="713"/>
      <c r="AP264" s="714"/>
      <c r="AQ264" s="715"/>
      <c r="AR264" s="707"/>
      <c r="AS264" s="707"/>
    </row>
    <row r="265" spans="1:45" s="711" customFormat="1" ht="12.75" customHeight="1" x14ac:dyDescent="0.25">
      <c r="A265" s="710"/>
      <c r="C265" s="11" t="s">
        <v>554</v>
      </c>
      <c r="E265" s="11"/>
      <c r="F265" s="11"/>
      <c r="G265" s="11"/>
      <c r="H265" s="11"/>
      <c r="I265" s="11"/>
      <c r="J265" s="1128" t="s">
        <v>614</v>
      </c>
      <c r="K265" s="1128"/>
      <c r="L265" s="1128"/>
      <c r="M265" s="1128"/>
      <c r="N265" s="1981">
        <v>0</v>
      </c>
      <c r="O265" s="1982"/>
      <c r="P265" s="1983">
        <v>0</v>
      </c>
      <c r="Q265" s="1984"/>
      <c r="R265" s="8"/>
      <c r="S265" s="8"/>
      <c r="T265" s="8"/>
      <c r="U265" s="8"/>
      <c r="V265" s="713"/>
      <c r="W265" s="713"/>
      <c r="X265" s="713"/>
      <c r="Y265" s="713"/>
      <c r="Z265" s="713"/>
      <c r="AA265" s="713"/>
      <c r="AB265" s="713"/>
      <c r="AC265" s="713"/>
      <c r="AD265" s="713"/>
      <c r="AE265" s="713"/>
      <c r="AF265" s="713"/>
      <c r="AG265" s="713"/>
      <c r="AH265" s="713"/>
      <c r="AI265" s="713"/>
      <c r="AJ265" s="713"/>
      <c r="AK265" s="713"/>
      <c r="AL265" s="713"/>
      <c r="AM265" s="713"/>
      <c r="AN265" s="713"/>
      <c r="AO265" s="713"/>
      <c r="AP265" s="714"/>
      <c r="AQ265" s="715"/>
      <c r="AR265" s="707"/>
      <c r="AS265" s="707"/>
    </row>
    <row r="266" spans="1:45" s="711" customFormat="1" ht="12.75" customHeight="1" x14ac:dyDescent="0.25">
      <c r="A266" s="710"/>
      <c r="B266" s="8"/>
      <c r="C266" s="8"/>
      <c r="D266" s="8"/>
      <c r="E266" s="8"/>
      <c r="F266" s="8"/>
      <c r="G266" s="8"/>
      <c r="H266" s="8"/>
      <c r="I266" s="11"/>
      <c r="J266" s="1115"/>
      <c r="K266" s="1115"/>
      <c r="L266" s="1115"/>
      <c r="M266" s="1115"/>
      <c r="N266" s="1115"/>
      <c r="O266" s="1115"/>
      <c r="P266" s="40"/>
      <c r="Q266" s="8"/>
      <c r="R266" s="8"/>
      <c r="S266" s="8"/>
      <c r="T266" s="8"/>
      <c r="U266" s="8"/>
      <c r="V266" s="713"/>
      <c r="W266" s="713"/>
      <c r="X266" s="713"/>
      <c r="Y266" s="713"/>
      <c r="Z266" s="713"/>
      <c r="AA266" s="713"/>
      <c r="AB266" s="713"/>
      <c r="AC266" s="713"/>
      <c r="AD266" s="713"/>
      <c r="AE266" s="713"/>
      <c r="AF266" s="713"/>
      <c r="AG266" s="713"/>
      <c r="AH266" s="713"/>
      <c r="AI266" s="713"/>
      <c r="AJ266" s="713"/>
      <c r="AK266" s="713"/>
      <c r="AL266" s="713"/>
      <c r="AM266" s="713"/>
      <c r="AN266" s="713"/>
      <c r="AO266" s="713"/>
      <c r="AP266" s="714"/>
      <c r="AQ266" s="715"/>
      <c r="AR266" s="707"/>
      <c r="AS266" s="707"/>
    </row>
    <row r="267" spans="1:45" s="711" customFormat="1" ht="12.75" customHeight="1" x14ac:dyDescent="0.25">
      <c r="A267" s="710"/>
      <c r="B267" s="8"/>
      <c r="C267" s="8"/>
      <c r="D267" s="8"/>
      <c r="E267" s="8"/>
      <c r="F267" s="8"/>
      <c r="G267" s="8"/>
      <c r="H267" s="8"/>
      <c r="I267" s="11"/>
      <c r="J267" s="1115"/>
      <c r="K267" s="1115"/>
      <c r="L267" s="1115"/>
      <c r="M267" s="1115"/>
      <c r="N267" s="1115"/>
      <c r="O267" s="1115"/>
      <c r="P267" s="40"/>
      <c r="Q267" s="8"/>
      <c r="R267" s="8"/>
      <c r="S267" s="8"/>
      <c r="T267" s="8"/>
      <c r="U267" s="8"/>
      <c r="V267" s="713"/>
      <c r="W267" s="713"/>
      <c r="X267" s="713"/>
      <c r="Y267" s="713"/>
      <c r="Z267" s="713"/>
      <c r="AA267" s="713"/>
      <c r="AB267" s="713"/>
      <c r="AC267" s="713"/>
      <c r="AD267" s="713"/>
      <c r="AE267" s="713"/>
      <c r="AF267" s="713"/>
      <c r="AG267" s="713"/>
      <c r="AH267" s="713"/>
      <c r="AI267" s="713"/>
      <c r="AJ267" s="713"/>
      <c r="AK267" s="713"/>
      <c r="AL267" s="713"/>
      <c r="AM267" s="713"/>
      <c r="AN267" s="713"/>
      <c r="AO267" s="713"/>
      <c r="AP267" s="714"/>
      <c r="AQ267" s="715"/>
      <c r="AR267" s="707"/>
      <c r="AS267" s="707"/>
    </row>
    <row r="268" spans="1:45" s="711" customFormat="1" ht="12.75" customHeight="1" x14ac:dyDescent="0.25">
      <c r="A268" s="710"/>
      <c r="B268" s="8"/>
      <c r="C268" s="8"/>
      <c r="D268" s="8"/>
      <c r="E268" s="8"/>
      <c r="F268" s="8"/>
      <c r="G268" s="8"/>
      <c r="H268" s="8"/>
      <c r="I268" s="8"/>
      <c r="J268" s="1115"/>
      <c r="K268" s="1115"/>
      <c r="L268" s="1115"/>
      <c r="M268" s="1115"/>
      <c r="N268" s="1583" t="s">
        <v>464</v>
      </c>
      <c r="O268" s="1584"/>
      <c r="P268" s="1584"/>
      <c r="Q268" s="1585"/>
      <c r="R268" s="8"/>
      <c r="S268" s="8"/>
      <c r="T268" s="8"/>
      <c r="U268" s="8"/>
      <c r="V268" s="713"/>
      <c r="W268" s="713"/>
      <c r="X268" s="713"/>
      <c r="Y268" s="713"/>
      <c r="Z268" s="713"/>
      <c r="AA268" s="713"/>
      <c r="AB268" s="713"/>
      <c r="AC268" s="713"/>
      <c r="AD268" s="713"/>
      <c r="AE268" s="713"/>
      <c r="AF268" s="713"/>
      <c r="AG268" s="713"/>
      <c r="AH268" s="713"/>
      <c r="AI268" s="713"/>
      <c r="AJ268" s="713"/>
      <c r="AK268" s="713"/>
      <c r="AL268" s="713"/>
      <c r="AM268" s="713"/>
      <c r="AN268" s="713"/>
      <c r="AO268" s="713"/>
      <c r="AP268" s="714"/>
      <c r="AQ268" s="715"/>
      <c r="AR268" s="707"/>
      <c r="AS268" s="707"/>
    </row>
    <row r="269" spans="1:45" s="711" customFormat="1" ht="12.75" customHeight="1" x14ac:dyDescent="0.25">
      <c r="A269" s="710"/>
      <c r="B269" s="8"/>
      <c r="C269" s="11"/>
      <c r="D269" s="11"/>
      <c r="E269" s="11"/>
      <c r="F269" s="11"/>
      <c r="G269" s="11"/>
      <c r="H269" s="11"/>
      <c r="I269" s="8"/>
      <c r="J269" s="1115"/>
      <c r="K269" s="1115"/>
      <c r="L269" s="1115"/>
      <c r="M269" s="1115"/>
      <c r="N269" s="1501" t="s">
        <v>200</v>
      </c>
      <c r="O269" s="1502"/>
      <c r="P269" s="1503" t="s">
        <v>201</v>
      </c>
      <c r="Q269" s="1504"/>
      <c r="R269" s="8"/>
      <c r="S269" s="8"/>
      <c r="T269" s="8"/>
      <c r="U269" s="8"/>
      <c r="V269" s="713"/>
      <c r="W269" s="713"/>
      <c r="X269" s="713"/>
      <c r="Y269" s="713"/>
      <c r="Z269" s="713"/>
      <c r="AA269" s="713"/>
      <c r="AB269" s="713"/>
      <c r="AC269" s="713"/>
      <c r="AD269" s="713"/>
      <c r="AE269" s="713"/>
      <c r="AF269" s="713"/>
      <c r="AG269" s="713"/>
      <c r="AH269" s="713"/>
      <c r="AI269" s="713"/>
      <c r="AJ269" s="713"/>
      <c r="AK269" s="713"/>
      <c r="AL269" s="713"/>
      <c r="AM269" s="713"/>
      <c r="AN269" s="713"/>
      <c r="AO269" s="713"/>
      <c r="AP269" s="714"/>
      <c r="AQ269" s="715"/>
      <c r="AR269" s="707"/>
      <c r="AS269" s="707"/>
    </row>
    <row r="270" spans="1:45" s="711" customFormat="1" ht="12.75" customHeight="1" x14ac:dyDescent="0.25">
      <c r="A270" s="710"/>
      <c r="B270" s="8"/>
      <c r="C270" s="11" t="s">
        <v>146</v>
      </c>
      <c r="D270" s="11"/>
      <c r="E270" s="11"/>
      <c r="F270" s="11"/>
      <c r="G270" s="11"/>
      <c r="H270" s="11"/>
      <c r="I270" s="8"/>
      <c r="J270" s="1115"/>
      <c r="K270" s="1115"/>
      <c r="L270" s="1115"/>
      <c r="M270" s="1115"/>
      <c r="N270" s="1644"/>
      <c r="O270" s="1645"/>
      <c r="P270" s="1640"/>
      <c r="Q270" s="1641"/>
      <c r="R270" s="8"/>
      <c r="S270" s="8"/>
      <c r="T270" s="8"/>
      <c r="U270" s="8"/>
      <c r="V270" s="713"/>
      <c r="W270" s="713"/>
      <c r="X270" s="713"/>
      <c r="Y270" s="713"/>
      <c r="Z270" s="713"/>
      <c r="AA270" s="713"/>
      <c r="AB270" s="713"/>
      <c r="AC270" s="713"/>
      <c r="AD270" s="713"/>
      <c r="AE270" s="713"/>
      <c r="AF270" s="713"/>
      <c r="AG270" s="713"/>
      <c r="AH270" s="713"/>
      <c r="AI270" s="713"/>
      <c r="AJ270" s="713"/>
      <c r="AK270" s="713"/>
      <c r="AL270" s="713"/>
      <c r="AM270" s="713"/>
      <c r="AN270" s="713"/>
      <c r="AO270" s="713"/>
      <c r="AP270" s="714"/>
      <c r="AQ270" s="715"/>
      <c r="AR270" s="707"/>
      <c r="AS270" s="707"/>
    </row>
    <row r="271" spans="1:45" s="711" customFormat="1" ht="12.75" customHeight="1" x14ac:dyDescent="0.25">
      <c r="A271" s="710"/>
      <c r="B271" s="8"/>
      <c r="C271" s="11"/>
      <c r="D271" s="11" t="s">
        <v>245</v>
      </c>
      <c r="E271" s="11"/>
      <c r="F271" s="11"/>
      <c r="G271" s="11"/>
      <c r="H271" s="11"/>
      <c r="I271" s="8"/>
      <c r="J271" s="1115"/>
      <c r="K271" s="1115"/>
      <c r="L271" s="1115"/>
      <c r="M271" s="1115"/>
      <c r="N271" s="1985">
        <v>0</v>
      </c>
      <c r="O271" s="1986"/>
      <c r="P271" s="1987">
        <v>0</v>
      </c>
      <c r="Q271" s="1988"/>
      <c r="R271" s="8"/>
      <c r="S271" s="8"/>
      <c r="T271" s="8"/>
      <c r="U271" s="8"/>
      <c r="V271" s="713"/>
      <c r="W271" s="713"/>
      <c r="X271" s="713"/>
      <c r="Y271" s="713"/>
      <c r="Z271" s="713"/>
      <c r="AA271" s="713"/>
      <c r="AB271" s="713"/>
      <c r="AC271" s="713"/>
      <c r="AD271" s="713"/>
      <c r="AE271" s="713"/>
      <c r="AF271" s="713"/>
      <c r="AG271" s="713"/>
      <c r="AH271" s="713"/>
      <c r="AI271" s="713"/>
      <c r="AJ271" s="713"/>
      <c r="AK271" s="713"/>
      <c r="AL271" s="713"/>
      <c r="AM271" s="713"/>
      <c r="AN271" s="713"/>
      <c r="AO271" s="713"/>
      <c r="AP271" s="714"/>
      <c r="AQ271" s="715"/>
      <c r="AR271" s="707"/>
      <c r="AS271" s="707"/>
    </row>
    <row r="272" spans="1:45" s="711" customFormat="1" ht="12.75" customHeight="1" x14ac:dyDescent="0.25">
      <c r="A272" s="710"/>
      <c r="B272" s="8"/>
      <c r="C272" s="8"/>
      <c r="D272" s="8" t="s">
        <v>471</v>
      </c>
      <c r="E272" s="8"/>
      <c r="F272" s="8"/>
      <c r="G272" s="8"/>
      <c r="H272" s="8"/>
      <c r="I272" s="8"/>
      <c r="J272" s="1112" t="s">
        <v>154</v>
      </c>
      <c r="K272" s="1112"/>
      <c r="L272" s="1112"/>
      <c r="M272" s="1112"/>
      <c r="N272" s="1995">
        <v>0</v>
      </c>
      <c r="O272" s="1996"/>
      <c r="P272" s="1993">
        <v>0</v>
      </c>
      <c r="Q272" s="1994"/>
      <c r="R272" s="8"/>
      <c r="S272" s="8"/>
      <c r="T272" s="8"/>
      <c r="U272" s="8"/>
      <c r="V272" s="713"/>
      <c r="W272" s="713"/>
      <c r="X272" s="713"/>
      <c r="Y272" s="713"/>
      <c r="Z272" s="713"/>
      <c r="AA272" s="713"/>
      <c r="AB272" s="713"/>
      <c r="AC272" s="713"/>
      <c r="AD272" s="713"/>
      <c r="AE272" s="713"/>
      <c r="AF272" s="713"/>
      <c r="AG272" s="713"/>
      <c r="AH272" s="713"/>
      <c r="AI272" s="713"/>
      <c r="AJ272" s="713"/>
      <c r="AK272" s="713"/>
      <c r="AL272" s="713"/>
      <c r="AM272" s="713"/>
      <c r="AN272" s="713"/>
      <c r="AO272" s="713"/>
      <c r="AP272" s="714"/>
      <c r="AQ272" s="715"/>
      <c r="AR272" s="707"/>
      <c r="AS272" s="707"/>
    </row>
    <row r="273" spans="1:45" s="711" customFormat="1" ht="12.75" customHeight="1" x14ac:dyDescent="0.25">
      <c r="A273" s="710"/>
      <c r="B273" s="8"/>
      <c r="C273" s="8"/>
      <c r="D273" s="1111" t="s">
        <v>533</v>
      </c>
      <c r="E273" s="8"/>
      <c r="F273" s="8"/>
      <c r="G273" s="8"/>
      <c r="H273" s="8"/>
      <c r="I273" s="8"/>
      <c r="J273" s="1112" t="s">
        <v>154</v>
      </c>
      <c r="K273" s="1112"/>
      <c r="L273" s="1112"/>
      <c r="M273" s="1112"/>
      <c r="N273" s="1995">
        <v>0</v>
      </c>
      <c r="O273" s="1996"/>
      <c r="P273" s="1993">
        <v>0</v>
      </c>
      <c r="Q273" s="1994"/>
      <c r="R273" s="8"/>
      <c r="S273" s="8"/>
      <c r="T273" s="8"/>
      <c r="U273" s="8"/>
      <c r="V273" s="713"/>
      <c r="W273" s="713"/>
      <c r="X273" s="713"/>
      <c r="Y273" s="713"/>
      <c r="Z273" s="713"/>
      <c r="AA273" s="713"/>
      <c r="AB273" s="713"/>
      <c r="AC273" s="713"/>
      <c r="AD273" s="713"/>
      <c r="AE273" s="713"/>
      <c r="AF273" s="713"/>
      <c r="AG273" s="713"/>
      <c r="AH273" s="713"/>
      <c r="AI273" s="713"/>
      <c r="AJ273" s="713"/>
      <c r="AK273" s="713"/>
      <c r="AL273" s="713"/>
      <c r="AM273" s="713"/>
      <c r="AN273" s="713"/>
      <c r="AO273" s="713"/>
      <c r="AP273" s="714"/>
      <c r="AQ273" s="715"/>
      <c r="AR273" s="707"/>
      <c r="AS273" s="707"/>
    </row>
    <row r="274" spans="1:45" s="711" customFormat="1" ht="12.75" customHeight="1" x14ac:dyDescent="0.25">
      <c r="A274" s="710"/>
      <c r="B274" s="8"/>
      <c r="C274" s="8"/>
      <c r="D274" s="8" t="s">
        <v>306</v>
      </c>
      <c r="E274" s="8"/>
      <c r="F274" s="8"/>
      <c r="G274" s="8"/>
      <c r="H274" s="8"/>
      <c r="I274" s="8"/>
      <c r="J274" s="1112" t="s">
        <v>154</v>
      </c>
      <c r="K274" s="1112"/>
      <c r="L274" s="1112"/>
      <c r="M274" s="1112"/>
      <c r="N274" s="1995">
        <v>0</v>
      </c>
      <c r="O274" s="1996"/>
      <c r="P274" s="1993">
        <v>0</v>
      </c>
      <c r="Q274" s="1994"/>
      <c r="R274" s="8"/>
      <c r="S274" s="8"/>
      <c r="T274" s="8"/>
      <c r="U274" s="8"/>
      <c r="V274" s="713"/>
      <c r="W274" s="713"/>
      <c r="X274" s="713"/>
      <c r="Y274" s="713"/>
      <c r="Z274" s="713"/>
      <c r="AA274" s="713"/>
      <c r="AB274" s="713"/>
      <c r="AC274" s="713"/>
      <c r="AD274" s="713"/>
      <c r="AE274" s="713"/>
      <c r="AF274" s="713"/>
      <c r="AG274" s="713"/>
      <c r="AH274" s="713"/>
      <c r="AI274" s="713"/>
      <c r="AJ274" s="713"/>
      <c r="AK274" s="713"/>
      <c r="AL274" s="713"/>
      <c r="AM274" s="713"/>
      <c r="AN274" s="713"/>
      <c r="AO274" s="713"/>
      <c r="AP274" s="714"/>
      <c r="AQ274" s="715"/>
      <c r="AR274" s="707"/>
      <c r="AS274" s="707"/>
    </row>
    <row r="275" spans="1:45" s="711" customFormat="1" ht="12.75" customHeight="1" x14ac:dyDescent="0.25">
      <c r="A275" s="710"/>
      <c r="B275" s="8"/>
      <c r="C275" s="8"/>
      <c r="D275" s="8" t="s">
        <v>305</v>
      </c>
      <c r="E275" s="8"/>
      <c r="F275" s="8"/>
      <c r="G275" s="8"/>
      <c r="H275" s="8"/>
      <c r="I275" s="8"/>
      <c r="J275" s="1112" t="s">
        <v>154</v>
      </c>
      <c r="K275" s="1112"/>
      <c r="L275" s="1112"/>
      <c r="M275" s="1112"/>
      <c r="N275" s="1995">
        <v>0</v>
      </c>
      <c r="O275" s="1996"/>
      <c r="P275" s="1993">
        <v>0</v>
      </c>
      <c r="Q275" s="1994"/>
      <c r="R275" s="8"/>
      <c r="S275" s="8"/>
      <c r="T275" s="8"/>
      <c r="U275" s="8"/>
      <c r="V275" s="713"/>
      <c r="W275" s="713"/>
      <c r="X275" s="713"/>
      <c r="Y275" s="713"/>
      <c r="Z275" s="713"/>
      <c r="AA275" s="713"/>
      <c r="AB275" s="713"/>
      <c r="AC275" s="713"/>
      <c r="AD275" s="713"/>
      <c r="AE275" s="713"/>
      <c r="AF275" s="713"/>
      <c r="AG275" s="713"/>
      <c r="AH275" s="713"/>
      <c r="AI275" s="713"/>
      <c r="AJ275" s="713"/>
      <c r="AK275" s="713"/>
      <c r="AL275" s="713"/>
      <c r="AM275" s="713"/>
      <c r="AN275" s="713"/>
      <c r="AO275" s="713"/>
      <c r="AP275" s="714"/>
      <c r="AQ275" s="715"/>
      <c r="AR275" s="707"/>
      <c r="AS275" s="707"/>
    </row>
    <row r="276" spans="1:45" s="711" customFormat="1" ht="12.75" customHeight="1" x14ac:dyDescent="0.25">
      <c r="A276" s="710"/>
      <c r="B276" s="8"/>
      <c r="C276" s="8"/>
      <c r="D276" s="8"/>
      <c r="E276" s="8"/>
      <c r="F276" s="8"/>
      <c r="G276" s="8"/>
      <c r="H276" s="8"/>
      <c r="I276" s="8"/>
      <c r="J276" s="1112"/>
      <c r="K276" s="1112"/>
      <c r="L276" s="1112"/>
      <c r="M276" s="1112"/>
      <c r="N276" s="1413"/>
      <c r="O276" s="1414"/>
      <c r="P276" s="1415"/>
      <c r="Q276" s="1416"/>
      <c r="R276" s="8"/>
      <c r="S276" s="8"/>
      <c r="T276" s="8"/>
      <c r="U276" s="8"/>
      <c r="V276" s="713"/>
      <c r="W276" s="713"/>
      <c r="X276" s="713"/>
      <c r="Y276" s="713"/>
      <c r="Z276" s="713"/>
      <c r="AA276" s="713"/>
      <c r="AB276" s="713"/>
      <c r="AC276" s="713"/>
      <c r="AD276" s="713"/>
      <c r="AE276" s="713"/>
      <c r="AF276" s="713"/>
      <c r="AG276" s="713"/>
      <c r="AH276" s="713"/>
      <c r="AI276" s="713"/>
      <c r="AJ276" s="713"/>
      <c r="AK276" s="713"/>
      <c r="AL276" s="713"/>
      <c r="AM276" s="713"/>
      <c r="AN276" s="713"/>
      <c r="AO276" s="713"/>
      <c r="AP276" s="714"/>
      <c r="AQ276" s="715"/>
      <c r="AR276" s="707"/>
      <c r="AS276" s="707"/>
    </row>
    <row r="277" spans="1:45" s="711" customFormat="1" ht="12.75" customHeight="1" x14ac:dyDescent="0.25">
      <c r="A277" s="710"/>
      <c r="B277" s="8"/>
      <c r="C277" s="11" t="s">
        <v>147</v>
      </c>
      <c r="D277" s="8"/>
      <c r="E277" s="8"/>
      <c r="F277" s="8"/>
      <c r="G277" s="8"/>
      <c r="H277" s="8"/>
      <c r="I277" s="8"/>
      <c r="J277" s="1112"/>
      <c r="K277" s="1112"/>
      <c r="L277" s="1112"/>
      <c r="M277" s="1112"/>
      <c r="N277" s="1413"/>
      <c r="O277" s="1414"/>
      <c r="P277" s="1415"/>
      <c r="Q277" s="1416"/>
      <c r="R277" s="8"/>
      <c r="S277" s="8"/>
      <c r="T277" s="8"/>
      <c r="U277" s="8"/>
      <c r="V277" s="713"/>
      <c r="W277" s="713"/>
      <c r="X277" s="713"/>
      <c r="Y277" s="713"/>
      <c r="Z277" s="713"/>
      <c r="AA277" s="713"/>
      <c r="AB277" s="713"/>
      <c r="AC277" s="713"/>
      <c r="AD277" s="713"/>
      <c r="AE277" s="713"/>
      <c r="AF277" s="713"/>
      <c r="AG277" s="713"/>
      <c r="AH277" s="713"/>
      <c r="AI277" s="713"/>
      <c r="AJ277" s="713"/>
      <c r="AK277" s="713"/>
      <c r="AL277" s="713"/>
      <c r="AM277" s="713"/>
      <c r="AN277" s="713"/>
      <c r="AO277" s="713"/>
      <c r="AP277" s="714"/>
      <c r="AQ277" s="715"/>
      <c r="AR277" s="707"/>
      <c r="AS277" s="707"/>
    </row>
    <row r="278" spans="1:45" s="711" customFormat="1" ht="12.75" customHeight="1" x14ac:dyDescent="0.25">
      <c r="A278" s="710"/>
      <c r="B278" s="8"/>
      <c r="C278" s="8"/>
      <c r="D278" s="11" t="s">
        <v>245</v>
      </c>
      <c r="E278" s="11"/>
      <c r="F278" s="11"/>
      <c r="G278" s="11"/>
      <c r="H278" s="11"/>
      <c r="I278" s="8"/>
      <c r="J278" s="1115"/>
      <c r="K278" s="1115"/>
      <c r="L278" s="1115"/>
      <c r="M278" s="1115"/>
      <c r="N278" s="1995"/>
      <c r="O278" s="2019"/>
      <c r="P278" s="1987">
        <v>0</v>
      </c>
      <c r="Q278" s="1988"/>
      <c r="R278" s="8"/>
      <c r="S278" s="8"/>
      <c r="T278" s="8"/>
      <c r="U278" s="8"/>
      <c r="V278" s="713"/>
      <c r="W278" s="713"/>
      <c r="X278" s="713"/>
      <c r="Y278" s="713"/>
      <c r="Z278" s="713"/>
      <c r="AA278" s="713"/>
      <c r="AB278" s="713"/>
      <c r="AC278" s="713"/>
      <c r="AD278" s="713"/>
      <c r="AE278" s="713"/>
      <c r="AF278" s="713"/>
      <c r="AG278" s="713"/>
      <c r="AH278" s="713"/>
      <c r="AI278" s="713"/>
      <c r="AJ278" s="713"/>
      <c r="AK278" s="713"/>
      <c r="AL278" s="713"/>
      <c r="AM278" s="713"/>
      <c r="AN278" s="713"/>
      <c r="AO278" s="713"/>
      <c r="AP278" s="714"/>
      <c r="AQ278" s="715"/>
      <c r="AR278" s="707"/>
      <c r="AS278" s="707"/>
    </row>
    <row r="279" spans="1:45" s="711" customFormat="1" ht="12.75" customHeight="1" x14ac:dyDescent="0.25">
      <c r="A279" s="710"/>
      <c r="B279" s="8"/>
      <c r="C279" s="8"/>
      <c r="D279" s="8" t="s">
        <v>306</v>
      </c>
      <c r="E279" s="8"/>
      <c r="F279" s="8"/>
      <c r="G279" s="8"/>
      <c r="H279" s="8"/>
      <c r="I279" s="8"/>
      <c r="J279" s="1112" t="s">
        <v>154</v>
      </c>
      <c r="K279" s="1112"/>
      <c r="L279" s="1112"/>
      <c r="M279" s="1112"/>
      <c r="N279" s="1995">
        <v>0</v>
      </c>
      <c r="O279" s="1996"/>
      <c r="P279" s="1993">
        <v>0</v>
      </c>
      <c r="Q279" s="1994"/>
      <c r="R279" s="8"/>
      <c r="S279" s="8"/>
      <c r="T279" s="8"/>
      <c r="U279" s="8"/>
      <c r="V279" s="713"/>
      <c r="W279" s="713"/>
      <c r="X279" s="713"/>
      <c r="Y279" s="713"/>
      <c r="Z279" s="713"/>
      <c r="AA279" s="713"/>
      <c r="AB279" s="713"/>
      <c r="AC279" s="713"/>
      <c r="AD279" s="713"/>
      <c r="AE279" s="713"/>
      <c r="AF279" s="713"/>
      <c r="AG279" s="713"/>
      <c r="AH279" s="713"/>
      <c r="AI279" s="713"/>
      <c r="AJ279" s="713"/>
      <c r="AK279" s="713"/>
      <c r="AL279" s="713"/>
      <c r="AM279" s="713"/>
      <c r="AN279" s="713"/>
      <c r="AO279" s="713"/>
      <c r="AP279" s="714"/>
      <c r="AQ279" s="715"/>
      <c r="AR279" s="707"/>
      <c r="AS279" s="707"/>
    </row>
    <row r="280" spans="1:45" s="711" customFormat="1" ht="12.75" customHeight="1" x14ac:dyDescent="0.25">
      <c r="A280" s="710"/>
      <c r="B280" s="8"/>
      <c r="C280" s="8"/>
      <c r="D280" s="8" t="s">
        <v>305</v>
      </c>
      <c r="E280" s="8"/>
      <c r="F280" s="8"/>
      <c r="G280" s="8"/>
      <c r="H280" s="8"/>
      <c r="I280" s="8"/>
      <c r="J280" s="1112" t="s">
        <v>154</v>
      </c>
      <c r="K280" s="1112"/>
      <c r="L280" s="1112"/>
      <c r="M280" s="1112"/>
      <c r="N280" s="1995">
        <v>0</v>
      </c>
      <c r="O280" s="1996"/>
      <c r="P280" s="1993">
        <v>0</v>
      </c>
      <c r="Q280" s="1994"/>
      <c r="R280" s="8"/>
      <c r="S280" s="8"/>
      <c r="T280" s="8"/>
      <c r="U280" s="8"/>
      <c r="V280" s="713"/>
      <c r="W280" s="713"/>
      <c r="X280" s="713"/>
      <c r="Y280" s="713"/>
      <c r="Z280" s="713"/>
      <c r="AA280" s="713"/>
      <c r="AB280" s="713"/>
      <c r="AC280" s="713"/>
      <c r="AD280" s="713"/>
      <c r="AE280" s="713"/>
      <c r="AF280" s="713"/>
      <c r="AG280" s="713"/>
      <c r="AH280" s="713"/>
      <c r="AI280" s="713"/>
      <c r="AJ280" s="713"/>
      <c r="AK280" s="713"/>
      <c r="AL280" s="713"/>
      <c r="AM280" s="713"/>
      <c r="AN280" s="713"/>
      <c r="AO280" s="713"/>
      <c r="AP280" s="714"/>
      <c r="AQ280" s="715"/>
      <c r="AR280" s="707"/>
      <c r="AS280" s="707"/>
    </row>
    <row r="281" spans="1:45" s="711" customFormat="1" ht="12.75" customHeight="1" x14ac:dyDescent="0.25">
      <c r="A281" s="710"/>
      <c r="B281" s="8"/>
      <c r="C281" s="8"/>
      <c r="D281" s="1634" t="s">
        <v>534</v>
      </c>
      <c r="E281" s="1634"/>
      <c r="F281" s="1634"/>
      <c r="G281" s="1634"/>
      <c r="H281" s="1634"/>
      <c r="I281" s="1634"/>
      <c r="J281" s="1112" t="s">
        <v>154</v>
      </c>
      <c r="K281" s="1112"/>
      <c r="L281" s="1112"/>
      <c r="M281" s="1112"/>
      <c r="N281" s="1995">
        <v>0</v>
      </c>
      <c r="O281" s="1996"/>
      <c r="P281" s="1993">
        <v>0</v>
      </c>
      <c r="Q281" s="1994"/>
      <c r="R281" s="29"/>
      <c r="S281" s="8"/>
      <c r="T281" s="8"/>
      <c r="U281" s="8"/>
      <c r="V281" s="713"/>
      <c r="W281" s="713"/>
      <c r="X281" s="713"/>
      <c r="Y281" s="713"/>
      <c r="Z281" s="713"/>
      <c r="AA281" s="713"/>
      <c r="AB281" s="713"/>
      <c r="AC281" s="713"/>
      <c r="AD281" s="713"/>
      <c r="AE281" s="713"/>
      <c r="AF281" s="713"/>
      <c r="AG281" s="713"/>
      <c r="AH281" s="713"/>
      <c r="AI281" s="713"/>
      <c r="AJ281" s="713"/>
      <c r="AK281" s="713"/>
      <c r="AL281" s="713"/>
      <c r="AM281" s="713"/>
      <c r="AN281" s="713"/>
      <c r="AO281" s="713"/>
      <c r="AP281" s="714"/>
      <c r="AQ281" s="715"/>
      <c r="AR281" s="707"/>
      <c r="AS281" s="707"/>
    </row>
    <row r="282" spans="1:45" s="711" customFormat="1" ht="12.75" customHeight="1" x14ac:dyDescent="0.25">
      <c r="A282" s="710"/>
      <c r="B282" s="8"/>
      <c r="C282" s="8"/>
      <c r="D282" s="1634" t="s">
        <v>535</v>
      </c>
      <c r="E282" s="1634"/>
      <c r="F282" s="1634"/>
      <c r="G282" s="1634"/>
      <c r="H282" s="1634"/>
      <c r="I282" s="1634"/>
      <c r="J282" s="1112" t="s">
        <v>154</v>
      </c>
      <c r="K282" s="1112"/>
      <c r="L282" s="1112"/>
      <c r="M282" s="1112"/>
      <c r="N282" s="1995"/>
      <c r="O282" s="1996"/>
      <c r="P282" s="1993">
        <v>0</v>
      </c>
      <c r="Q282" s="1994"/>
      <c r="R282" s="8"/>
      <c r="S282" s="8"/>
      <c r="T282" s="8"/>
      <c r="U282" s="8"/>
      <c r="V282" s="713"/>
      <c r="W282" s="713"/>
      <c r="X282" s="713"/>
      <c r="Y282" s="713"/>
      <c r="Z282" s="713"/>
      <c r="AA282" s="713"/>
      <c r="AB282" s="713"/>
      <c r="AC282" s="713"/>
      <c r="AD282" s="713"/>
      <c r="AE282" s="713"/>
      <c r="AF282" s="713"/>
      <c r="AG282" s="713"/>
      <c r="AH282" s="713"/>
      <c r="AI282" s="713"/>
      <c r="AJ282" s="713"/>
      <c r="AK282" s="713"/>
      <c r="AL282" s="713"/>
      <c r="AM282" s="713"/>
      <c r="AN282" s="713"/>
      <c r="AO282" s="713"/>
      <c r="AP282" s="714"/>
      <c r="AQ282" s="715"/>
      <c r="AR282" s="707"/>
      <c r="AS282" s="707"/>
    </row>
    <row r="283" spans="1:45" s="711" customFormat="1" ht="12.75" customHeight="1" x14ac:dyDescent="0.25">
      <c r="A283" s="710"/>
      <c r="B283" s="8"/>
      <c r="C283" s="8"/>
      <c r="D283" s="8"/>
      <c r="E283" s="8"/>
      <c r="F283" s="8"/>
      <c r="G283" s="8"/>
      <c r="H283" s="8"/>
      <c r="I283" s="8"/>
      <c r="J283" s="1112"/>
      <c r="K283" s="1112"/>
      <c r="L283" s="1112"/>
      <c r="M283" s="1112"/>
      <c r="N283" s="1413"/>
      <c r="O283" s="1414"/>
      <c r="P283" s="1415"/>
      <c r="Q283" s="1416"/>
      <c r="R283" s="8"/>
      <c r="S283" s="8"/>
      <c r="T283" s="8"/>
      <c r="U283" s="8"/>
      <c r="V283" s="713"/>
      <c r="W283" s="713"/>
      <c r="X283" s="713"/>
      <c r="Y283" s="713"/>
      <c r="Z283" s="713"/>
      <c r="AA283" s="713"/>
      <c r="AB283" s="713"/>
      <c r="AC283" s="713"/>
      <c r="AD283" s="713"/>
      <c r="AE283" s="713"/>
      <c r="AF283" s="713"/>
      <c r="AG283" s="713"/>
      <c r="AH283" s="713"/>
      <c r="AI283" s="713"/>
      <c r="AJ283" s="713"/>
      <c r="AK283" s="713"/>
      <c r="AL283" s="713"/>
      <c r="AM283" s="713"/>
      <c r="AN283" s="713"/>
      <c r="AO283" s="713"/>
      <c r="AP283" s="714"/>
      <c r="AQ283" s="715"/>
      <c r="AR283" s="707"/>
      <c r="AS283" s="707"/>
    </row>
    <row r="284" spans="1:45" s="711" customFormat="1" ht="12.75" customHeight="1" x14ac:dyDescent="0.25">
      <c r="A284" s="710"/>
      <c r="B284" s="8"/>
      <c r="C284" s="11" t="s">
        <v>186</v>
      </c>
      <c r="D284" s="11"/>
      <c r="E284" s="11"/>
      <c r="F284" s="11"/>
      <c r="G284" s="11"/>
      <c r="H284" s="11"/>
      <c r="I284" s="8"/>
      <c r="J284" s="747"/>
      <c r="K284" s="747"/>
      <c r="L284" s="747"/>
      <c r="M284" s="747"/>
      <c r="N284" s="1989"/>
      <c r="O284" s="1990"/>
      <c r="P284" s="1991"/>
      <c r="Q284" s="1992"/>
      <c r="R284" s="8"/>
      <c r="S284" s="8"/>
      <c r="T284" s="8"/>
      <c r="U284" s="8"/>
      <c r="V284" s="713"/>
      <c r="W284" s="713"/>
      <c r="X284" s="713"/>
      <c r="Y284" s="713"/>
      <c r="Z284" s="713"/>
      <c r="AA284" s="713"/>
      <c r="AB284" s="713"/>
      <c r="AC284" s="713"/>
      <c r="AD284" s="713"/>
      <c r="AE284" s="713"/>
      <c r="AF284" s="713"/>
      <c r="AG284" s="713"/>
      <c r="AH284" s="713"/>
      <c r="AI284" s="713"/>
      <c r="AJ284" s="713"/>
      <c r="AK284" s="713"/>
      <c r="AL284" s="713"/>
      <c r="AM284" s="713"/>
      <c r="AN284" s="713"/>
      <c r="AO284" s="713"/>
      <c r="AP284" s="714"/>
      <c r="AQ284" s="715"/>
      <c r="AR284" s="707"/>
      <c r="AS284" s="707"/>
    </row>
    <row r="285" spans="1:45" s="711" customFormat="1" ht="12.75" customHeight="1" x14ac:dyDescent="0.25">
      <c r="A285" s="710"/>
      <c r="B285" s="8"/>
      <c r="C285" s="8"/>
      <c r="D285" s="8" t="s">
        <v>472</v>
      </c>
      <c r="E285" s="8"/>
      <c r="F285" s="8"/>
      <c r="G285" s="8"/>
      <c r="H285" s="8"/>
      <c r="I285" s="8"/>
      <c r="J285" s="1112" t="s">
        <v>614</v>
      </c>
      <c r="K285" s="1112"/>
      <c r="L285" s="1112"/>
      <c r="M285" s="1112"/>
      <c r="N285" s="2001">
        <v>0</v>
      </c>
      <c r="O285" s="2002"/>
      <c r="P285" s="2003">
        <v>0</v>
      </c>
      <c r="Q285" s="2004"/>
      <c r="R285" s="8"/>
      <c r="S285" s="8"/>
      <c r="T285" s="8"/>
      <c r="U285" s="8"/>
      <c r="V285" s="713"/>
      <c r="W285" s="713"/>
      <c r="X285" s="713"/>
      <c r="Y285" s="713"/>
      <c r="Z285" s="713"/>
      <c r="AA285" s="713"/>
      <c r="AB285" s="713"/>
      <c r="AC285" s="713"/>
      <c r="AD285" s="713"/>
      <c r="AE285" s="713"/>
      <c r="AF285" s="713"/>
      <c r="AG285" s="713"/>
      <c r="AH285" s="713"/>
      <c r="AI285" s="713"/>
      <c r="AJ285" s="713"/>
      <c r="AK285" s="713"/>
      <c r="AL285" s="713"/>
      <c r="AM285" s="713"/>
      <c r="AN285" s="713"/>
      <c r="AO285" s="713"/>
      <c r="AP285" s="714"/>
      <c r="AQ285" s="715"/>
      <c r="AR285" s="707"/>
      <c r="AS285" s="707"/>
    </row>
    <row r="286" spans="1:45" s="711" customFormat="1" ht="12.75" customHeight="1" x14ac:dyDescent="0.25">
      <c r="A286" s="710"/>
      <c r="B286" s="8"/>
      <c r="C286" s="8"/>
      <c r="D286" s="8" t="s">
        <v>473</v>
      </c>
      <c r="E286" s="8"/>
      <c r="F286" s="8"/>
      <c r="G286" s="8"/>
      <c r="H286" s="8"/>
      <c r="I286" s="8"/>
      <c r="J286" s="1112" t="s">
        <v>16</v>
      </c>
      <c r="K286" s="1112"/>
      <c r="L286" s="1112"/>
      <c r="M286" s="1112"/>
      <c r="N286" s="1417"/>
      <c r="O286" s="1414"/>
      <c r="P286" s="2017">
        <v>0</v>
      </c>
      <c r="Q286" s="2018"/>
      <c r="R286" s="8"/>
      <c r="S286" s="8"/>
      <c r="T286" s="8"/>
      <c r="U286" s="8"/>
      <c r="V286" s="713"/>
      <c r="W286" s="713"/>
      <c r="X286" s="713"/>
      <c r="Y286" s="713"/>
      <c r="Z286" s="713"/>
      <c r="AA286" s="713"/>
      <c r="AB286" s="713"/>
      <c r="AC286" s="713"/>
      <c r="AD286" s="713"/>
      <c r="AE286" s="713"/>
      <c r="AF286" s="713"/>
      <c r="AG286" s="713"/>
      <c r="AH286" s="713"/>
      <c r="AI286" s="713"/>
      <c r="AJ286" s="713"/>
      <c r="AK286" s="713"/>
      <c r="AL286" s="713"/>
      <c r="AM286" s="713"/>
      <c r="AN286" s="713"/>
      <c r="AO286" s="713"/>
      <c r="AP286" s="714"/>
      <c r="AQ286" s="715"/>
      <c r="AR286" s="707"/>
      <c r="AS286" s="707"/>
    </row>
    <row r="287" spans="1:45" s="711" customFormat="1" ht="12.75" customHeight="1" x14ac:dyDescent="0.25">
      <c r="A287" s="710"/>
      <c r="B287" s="8"/>
      <c r="C287" s="8"/>
      <c r="D287" s="8" t="s">
        <v>276</v>
      </c>
      <c r="E287" s="8"/>
      <c r="F287" s="8"/>
      <c r="G287" s="8"/>
      <c r="H287" s="8"/>
      <c r="I287" s="8"/>
      <c r="J287" s="1112" t="s">
        <v>614</v>
      </c>
      <c r="K287" s="1112"/>
      <c r="L287" s="1112"/>
      <c r="M287" s="1112"/>
      <c r="N287" s="2001">
        <v>0</v>
      </c>
      <c r="O287" s="2002"/>
      <c r="P287" s="2003">
        <v>0</v>
      </c>
      <c r="Q287" s="2004"/>
      <c r="R287" s="8"/>
      <c r="S287" s="8"/>
      <c r="T287" s="8"/>
      <c r="U287" s="8"/>
      <c r="V287" s="713"/>
      <c r="W287" s="713"/>
      <c r="X287" s="713"/>
      <c r="Y287" s="713"/>
      <c r="Z287" s="713"/>
      <c r="AA287" s="713"/>
      <c r="AB287" s="713"/>
      <c r="AC287" s="713"/>
      <c r="AD287" s="713"/>
      <c r="AE287" s="713"/>
      <c r="AF287" s="713"/>
      <c r="AG287" s="713"/>
      <c r="AH287" s="713"/>
      <c r="AI287" s="713"/>
      <c r="AJ287" s="713"/>
      <c r="AK287" s="713"/>
      <c r="AL287" s="713"/>
      <c r="AM287" s="713"/>
      <c r="AN287" s="713"/>
      <c r="AO287" s="713"/>
      <c r="AP287" s="714"/>
      <c r="AQ287" s="715"/>
      <c r="AR287" s="707"/>
      <c r="AS287" s="707"/>
    </row>
    <row r="288" spans="1:45" s="711" customFormat="1" ht="12.75" customHeight="1" x14ac:dyDescent="0.25">
      <c r="A288" s="710"/>
      <c r="B288" s="8"/>
      <c r="C288" s="8"/>
      <c r="D288" s="8" t="s">
        <v>307</v>
      </c>
      <c r="E288" s="8"/>
      <c r="F288" s="8"/>
      <c r="G288" s="8"/>
      <c r="H288" s="8"/>
      <c r="I288" s="8"/>
      <c r="J288" s="1112" t="s">
        <v>614</v>
      </c>
      <c r="K288" s="1112"/>
      <c r="L288" s="1112"/>
      <c r="M288" s="1112"/>
      <c r="N288" s="2001">
        <v>0</v>
      </c>
      <c r="O288" s="2002"/>
      <c r="P288" s="2003">
        <v>0</v>
      </c>
      <c r="Q288" s="2004"/>
      <c r="R288" s="8"/>
      <c r="S288" s="8"/>
      <c r="T288" s="8"/>
      <c r="U288" s="8"/>
      <c r="V288" s="713"/>
      <c r="W288" s="713"/>
      <c r="X288" s="713"/>
      <c r="Y288" s="713"/>
      <c r="Z288" s="713"/>
      <c r="AA288" s="713"/>
      <c r="AB288" s="713"/>
      <c r="AC288" s="713"/>
      <c r="AD288" s="713"/>
      <c r="AE288" s="713"/>
      <c r="AF288" s="713"/>
      <c r="AG288" s="713"/>
      <c r="AH288" s="713"/>
      <c r="AI288" s="713"/>
      <c r="AJ288" s="713"/>
      <c r="AK288" s="713"/>
      <c r="AL288" s="713"/>
      <c r="AM288" s="713"/>
      <c r="AN288" s="713"/>
      <c r="AO288" s="713"/>
      <c r="AP288" s="714"/>
      <c r="AQ288" s="715"/>
      <c r="AR288" s="707"/>
      <c r="AS288" s="707"/>
    </row>
    <row r="289" spans="1:45" s="711" customFormat="1" ht="12.75" customHeight="1" x14ac:dyDescent="0.25">
      <c r="A289" s="710"/>
      <c r="B289" s="8"/>
      <c r="C289" s="8"/>
      <c r="D289" s="8"/>
      <c r="E289" s="8"/>
      <c r="F289" s="8"/>
      <c r="G289" s="8"/>
      <c r="H289" s="8"/>
      <c r="I289" s="8"/>
      <c r="J289" s="1112"/>
      <c r="K289" s="1112"/>
      <c r="L289" s="1112"/>
      <c r="M289" s="1112"/>
      <c r="N289" s="1417"/>
      <c r="O289" s="1418"/>
      <c r="P289" s="1419"/>
      <c r="Q289" s="1420"/>
      <c r="R289" s="8"/>
      <c r="S289" s="8"/>
      <c r="T289" s="8"/>
      <c r="U289" s="8"/>
      <c r="V289" s="713"/>
      <c r="W289" s="713"/>
      <c r="X289" s="713"/>
      <c r="Y289" s="713"/>
      <c r="Z289" s="713"/>
      <c r="AA289" s="713"/>
      <c r="AB289" s="713"/>
      <c r="AC289" s="713"/>
      <c r="AD289" s="713"/>
      <c r="AE289" s="713"/>
      <c r="AF289" s="713"/>
      <c r="AG289" s="713"/>
      <c r="AH289" s="713"/>
      <c r="AI289" s="713"/>
      <c r="AJ289" s="713"/>
      <c r="AK289" s="713"/>
      <c r="AL289" s="713"/>
      <c r="AM289" s="713"/>
      <c r="AN289" s="713"/>
      <c r="AO289" s="713"/>
      <c r="AP289" s="714"/>
      <c r="AQ289" s="715"/>
      <c r="AR289" s="707"/>
      <c r="AS289" s="707"/>
    </row>
    <row r="290" spans="1:45" s="711" customFormat="1" ht="12.75" customHeight="1" x14ac:dyDescent="0.25">
      <c r="A290" s="710"/>
      <c r="B290" s="8"/>
      <c r="C290" s="11" t="s">
        <v>148</v>
      </c>
      <c r="D290" s="11"/>
      <c r="E290" s="11"/>
      <c r="F290" s="11"/>
      <c r="G290" s="11"/>
      <c r="H290" s="11"/>
      <c r="I290" s="8"/>
      <c r="J290" s="747"/>
      <c r="K290" s="747"/>
      <c r="L290" s="747"/>
      <c r="M290" s="747"/>
      <c r="N290" s="1989"/>
      <c r="O290" s="1990"/>
      <c r="P290" s="1991"/>
      <c r="Q290" s="1992"/>
      <c r="R290" s="8"/>
      <c r="S290" s="8"/>
      <c r="T290" s="8"/>
      <c r="U290" s="8"/>
      <c r="V290" s="713"/>
      <c r="W290" s="713"/>
      <c r="X290" s="713"/>
      <c r="Y290" s="713"/>
      <c r="Z290" s="713"/>
      <c r="AA290" s="713"/>
      <c r="AB290" s="713"/>
      <c r="AC290" s="713"/>
      <c r="AD290" s="713"/>
      <c r="AE290" s="713"/>
      <c r="AF290" s="713"/>
      <c r="AG290" s="713"/>
      <c r="AH290" s="713"/>
      <c r="AI290" s="713"/>
      <c r="AJ290" s="713"/>
      <c r="AK290" s="713"/>
      <c r="AL290" s="713"/>
      <c r="AM290" s="713"/>
      <c r="AN290" s="713"/>
      <c r="AO290" s="713"/>
      <c r="AP290" s="714"/>
      <c r="AQ290" s="715"/>
      <c r="AR290" s="707"/>
      <c r="AS290" s="707"/>
    </row>
    <row r="291" spans="1:45" s="711" customFormat="1" ht="12.75" customHeight="1" x14ac:dyDescent="0.25">
      <c r="A291" s="710"/>
      <c r="B291" s="8"/>
      <c r="C291" s="8"/>
      <c r="D291" s="8"/>
      <c r="E291" s="1411" t="s">
        <v>629</v>
      </c>
      <c r="F291" s="8"/>
      <c r="G291" s="8"/>
      <c r="H291" s="8"/>
      <c r="I291" s="8"/>
      <c r="J291" s="1409" t="s">
        <v>617</v>
      </c>
      <c r="K291" s="1409"/>
      <c r="L291" s="1409"/>
      <c r="M291" s="1409"/>
      <c r="N291" s="1967">
        <v>0</v>
      </c>
      <c r="O291" s="1968"/>
      <c r="P291" s="1969">
        <v>0</v>
      </c>
      <c r="Q291" s="1970"/>
      <c r="R291" s="8"/>
      <c r="S291" s="8"/>
      <c r="T291" s="8"/>
      <c r="U291" s="8"/>
      <c r="V291" s="713"/>
      <c r="W291" s="713"/>
      <c r="X291" s="713"/>
      <c r="Y291" s="713"/>
      <c r="Z291" s="713"/>
      <c r="AA291" s="713"/>
      <c r="AB291" s="713"/>
      <c r="AC291" s="713"/>
      <c r="AD291" s="713"/>
      <c r="AE291" s="713"/>
      <c r="AF291" s="713"/>
      <c r="AG291" s="713"/>
      <c r="AH291" s="713"/>
      <c r="AI291" s="713"/>
      <c r="AJ291" s="713"/>
      <c r="AK291" s="713"/>
      <c r="AL291" s="713"/>
      <c r="AM291" s="713"/>
      <c r="AN291" s="713"/>
      <c r="AO291" s="713"/>
      <c r="AP291" s="714"/>
      <c r="AQ291" s="715"/>
      <c r="AR291" s="707"/>
      <c r="AS291" s="707"/>
    </row>
    <row r="292" spans="1:45" s="711" customFormat="1" ht="12.75" customHeight="1" x14ac:dyDescent="0.25">
      <c r="A292" s="710"/>
      <c r="B292" s="8"/>
      <c r="C292" s="8"/>
      <c r="D292" s="8"/>
      <c r="E292" s="1411" t="s">
        <v>630</v>
      </c>
      <c r="F292" s="8"/>
      <c r="G292" s="8"/>
      <c r="H292" s="8"/>
      <c r="I292" s="8"/>
      <c r="J292" s="1409" t="s">
        <v>617</v>
      </c>
      <c r="K292" s="1409"/>
      <c r="L292" s="1409"/>
      <c r="M292" s="1409"/>
      <c r="N292" s="1967">
        <v>0</v>
      </c>
      <c r="O292" s="1968"/>
      <c r="P292" s="1969">
        <v>0</v>
      </c>
      <c r="Q292" s="1970"/>
      <c r="R292" s="8"/>
      <c r="S292" s="8"/>
      <c r="T292" s="8"/>
      <c r="U292" s="8"/>
      <c r="V292" s="713"/>
      <c r="W292" s="713"/>
      <c r="X292" s="713"/>
      <c r="Y292" s="713"/>
      <c r="Z292" s="713"/>
      <c r="AA292" s="713"/>
      <c r="AB292" s="713"/>
      <c r="AC292" s="713"/>
      <c r="AD292" s="713"/>
      <c r="AE292" s="713"/>
      <c r="AF292" s="713"/>
      <c r="AG292" s="713"/>
      <c r="AH292" s="713"/>
      <c r="AI292" s="713"/>
      <c r="AJ292" s="713"/>
      <c r="AK292" s="713"/>
      <c r="AL292" s="713"/>
      <c r="AM292" s="713"/>
      <c r="AN292" s="713"/>
      <c r="AO292" s="713"/>
      <c r="AP292" s="714"/>
      <c r="AQ292" s="715"/>
      <c r="AR292" s="707"/>
      <c r="AS292" s="707"/>
    </row>
    <row r="293" spans="1:45" s="711" customFormat="1" ht="12.75" customHeight="1" x14ac:dyDescent="0.25">
      <c r="A293" s="710"/>
      <c r="B293" s="8"/>
      <c r="C293" s="8"/>
      <c r="D293" s="8"/>
      <c r="E293" s="1411" t="s">
        <v>631</v>
      </c>
      <c r="F293" s="8"/>
      <c r="G293" s="8"/>
      <c r="H293" s="8"/>
      <c r="I293" s="8"/>
      <c r="J293" s="1409" t="s">
        <v>617</v>
      </c>
      <c r="K293" s="1409"/>
      <c r="L293" s="1409"/>
      <c r="M293" s="1409"/>
      <c r="N293" s="1967">
        <v>0</v>
      </c>
      <c r="O293" s="1968"/>
      <c r="P293" s="1969">
        <v>0</v>
      </c>
      <c r="Q293" s="1970"/>
      <c r="R293" s="8"/>
      <c r="S293" s="8"/>
      <c r="T293" s="8"/>
      <c r="U293" s="8"/>
      <c r="V293" s="713"/>
      <c r="W293" s="713"/>
      <c r="X293" s="713"/>
      <c r="Y293" s="713"/>
      <c r="Z293" s="713"/>
      <c r="AA293" s="713"/>
      <c r="AB293" s="713"/>
      <c r="AC293" s="713"/>
      <c r="AD293" s="713"/>
      <c r="AE293" s="713"/>
      <c r="AF293" s="713"/>
      <c r="AG293" s="713"/>
      <c r="AH293" s="713"/>
      <c r="AI293" s="713"/>
      <c r="AJ293" s="713"/>
      <c r="AK293" s="713"/>
      <c r="AL293" s="713"/>
      <c r="AM293" s="713"/>
      <c r="AN293" s="713"/>
      <c r="AO293" s="713"/>
      <c r="AP293" s="714"/>
      <c r="AQ293" s="715"/>
      <c r="AR293" s="707"/>
      <c r="AS293" s="707"/>
    </row>
    <row r="294" spans="1:45" s="711" customFormat="1" ht="12.75" customHeight="1" x14ac:dyDescent="0.25">
      <c r="A294" s="710"/>
      <c r="B294" s="11"/>
      <c r="C294" s="11"/>
      <c r="D294" s="11" t="s">
        <v>632</v>
      </c>
      <c r="E294" s="11"/>
      <c r="F294" s="11"/>
      <c r="G294" s="11"/>
      <c r="H294" s="11"/>
      <c r="I294" s="11"/>
      <c r="J294" s="1410" t="s">
        <v>617</v>
      </c>
      <c r="K294" s="1410"/>
      <c r="L294" s="1410"/>
      <c r="M294" s="1410"/>
      <c r="N294" s="1971">
        <v>0</v>
      </c>
      <c r="O294" s="1972"/>
      <c r="P294" s="1973">
        <v>0</v>
      </c>
      <c r="Q294" s="1974"/>
      <c r="R294" s="11"/>
      <c r="S294" s="11"/>
      <c r="T294" s="11"/>
      <c r="U294" s="11"/>
      <c r="V294" s="714"/>
      <c r="W294" s="714"/>
      <c r="X294" s="714"/>
      <c r="Y294" s="714"/>
      <c r="Z294" s="714"/>
      <c r="AA294" s="714"/>
      <c r="AB294" s="714"/>
      <c r="AC294" s="714"/>
      <c r="AD294" s="714"/>
      <c r="AE294" s="714"/>
      <c r="AF294" s="714"/>
      <c r="AG294" s="714"/>
      <c r="AH294" s="714"/>
      <c r="AI294" s="714"/>
      <c r="AJ294" s="714"/>
      <c r="AK294" s="714"/>
      <c r="AL294" s="714"/>
      <c r="AM294" s="714"/>
      <c r="AN294" s="714"/>
      <c r="AO294" s="714"/>
      <c r="AP294" s="714"/>
      <c r="AQ294" s="1412"/>
    </row>
    <row r="295" spans="1:45" s="711" customFormat="1" ht="12.75" customHeight="1" x14ac:dyDescent="0.25">
      <c r="A295" s="710"/>
      <c r="B295" s="8"/>
      <c r="C295" s="8"/>
      <c r="D295" s="8" t="s">
        <v>628</v>
      </c>
      <c r="E295" s="8"/>
      <c r="F295" s="8"/>
      <c r="G295" s="8"/>
      <c r="H295" s="8"/>
      <c r="I295" s="8"/>
      <c r="J295" s="1409" t="s">
        <v>16</v>
      </c>
      <c r="K295" s="1409"/>
      <c r="L295" s="1409"/>
      <c r="M295" s="1409"/>
      <c r="N295" s="1421"/>
      <c r="O295" s="1422"/>
      <c r="P295" s="2024">
        <v>0</v>
      </c>
      <c r="Q295" s="2025"/>
      <c r="R295" s="8"/>
      <c r="S295" s="8"/>
      <c r="T295" s="8"/>
      <c r="U295" s="8"/>
      <c r="V295" s="713"/>
      <c r="W295" s="713"/>
      <c r="X295" s="713"/>
      <c r="Y295" s="713"/>
      <c r="Z295" s="713"/>
      <c r="AA295" s="713"/>
      <c r="AB295" s="713"/>
      <c r="AC295" s="713"/>
      <c r="AD295" s="713"/>
      <c r="AE295" s="713"/>
      <c r="AF295" s="713"/>
      <c r="AG295" s="713"/>
      <c r="AH295" s="713"/>
      <c r="AI295" s="713"/>
      <c r="AJ295" s="713"/>
      <c r="AK295" s="713"/>
      <c r="AL295" s="713"/>
      <c r="AM295" s="713"/>
      <c r="AN295" s="713"/>
      <c r="AO295" s="713"/>
      <c r="AP295" s="714"/>
      <c r="AQ295" s="715"/>
      <c r="AR295" s="707"/>
      <c r="AS295" s="707"/>
    </row>
    <row r="296" spans="1:45" s="711" customFormat="1" ht="12.75" customHeight="1" x14ac:dyDescent="0.25">
      <c r="A296" s="710"/>
      <c r="B296" s="8"/>
      <c r="C296" s="8"/>
      <c r="D296" s="1634" t="s">
        <v>536</v>
      </c>
      <c r="E296" s="1634"/>
      <c r="F296" s="1634"/>
      <c r="G296" s="1634"/>
      <c r="H296" s="1634"/>
      <c r="I296" s="1634"/>
      <c r="J296" s="1112" t="s">
        <v>366</v>
      </c>
      <c r="K296" s="1112"/>
      <c r="L296" s="1112"/>
      <c r="M296" s="1112"/>
      <c r="N296" s="2020">
        <v>0</v>
      </c>
      <c r="O296" s="2021"/>
      <c r="P296" s="2022">
        <v>0</v>
      </c>
      <c r="Q296" s="2023"/>
      <c r="R296" s="8"/>
      <c r="S296" s="8"/>
      <c r="T296" s="8"/>
      <c r="U296" s="8"/>
      <c r="V296" s="713"/>
      <c r="W296" s="713"/>
      <c r="X296" s="713"/>
      <c r="Y296" s="713"/>
      <c r="Z296" s="713"/>
      <c r="AA296" s="713"/>
      <c r="AB296" s="713"/>
      <c r="AC296" s="713"/>
      <c r="AD296" s="713"/>
      <c r="AE296" s="713"/>
      <c r="AF296" s="713"/>
      <c r="AG296" s="713"/>
      <c r="AH296" s="713"/>
      <c r="AI296" s="713"/>
      <c r="AJ296" s="713"/>
      <c r="AK296" s="713"/>
      <c r="AL296" s="713"/>
      <c r="AM296" s="713"/>
      <c r="AN296" s="713"/>
      <c r="AO296" s="713"/>
      <c r="AP296" s="714"/>
      <c r="AQ296" s="715"/>
      <c r="AR296" s="707"/>
      <c r="AS296" s="707"/>
    </row>
    <row r="297" spans="1:45" s="711" customFormat="1" ht="12.75" customHeight="1" x14ac:dyDescent="0.25">
      <c r="A297" s="710"/>
      <c r="B297" s="707"/>
      <c r="C297" s="707"/>
      <c r="F297" s="712"/>
      <c r="G297" s="712"/>
      <c r="H297" s="712"/>
      <c r="I297" s="712"/>
      <c r="J297" s="713"/>
      <c r="K297" s="713"/>
      <c r="L297" s="713"/>
      <c r="M297" s="713"/>
      <c r="N297" s="713"/>
      <c r="O297" s="713"/>
      <c r="P297" s="713"/>
      <c r="Q297" s="713"/>
      <c r="R297" s="713"/>
      <c r="S297" s="713"/>
      <c r="T297" s="713"/>
      <c r="U297" s="713"/>
      <c r="V297" s="713"/>
      <c r="W297" s="713"/>
      <c r="X297" s="713"/>
      <c r="Y297" s="713"/>
      <c r="Z297" s="713"/>
      <c r="AA297" s="713"/>
      <c r="AB297" s="713"/>
      <c r="AC297" s="713"/>
      <c r="AD297" s="713"/>
      <c r="AE297" s="713"/>
      <c r="AF297" s="713"/>
      <c r="AG297" s="713"/>
      <c r="AH297" s="713"/>
      <c r="AI297" s="713"/>
      <c r="AJ297" s="713"/>
      <c r="AK297" s="713"/>
      <c r="AL297" s="713"/>
      <c r="AM297" s="713"/>
      <c r="AN297" s="713"/>
      <c r="AO297" s="713"/>
      <c r="AP297" s="714"/>
      <c r="AQ297" s="715"/>
      <c r="AR297" s="707"/>
      <c r="AS297" s="707"/>
    </row>
    <row r="298" spans="1:45" s="711" customFormat="1" ht="12.75" customHeight="1" x14ac:dyDescent="0.25">
      <c r="A298" s="710"/>
      <c r="B298" s="707"/>
      <c r="C298" s="707"/>
      <c r="F298" s="712"/>
      <c r="G298" s="712"/>
      <c r="H298" s="712"/>
      <c r="I298" s="712"/>
      <c r="J298" s="713"/>
      <c r="K298" s="713"/>
      <c r="L298" s="713"/>
      <c r="M298" s="713"/>
      <c r="N298" s="713"/>
      <c r="O298" s="713"/>
      <c r="P298" s="713"/>
      <c r="Q298" s="713"/>
      <c r="R298" s="713"/>
      <c r="S298" s="713"/>
      <c r="T298" s="713"/>
      <c r="U298" s="713"/>
      <c r="V298" s="713"/>
      <c r="W298" s="713"/>
      <c r="X298" s="713"/>
      <c r="Y298" s="713"/>
      <c r="Z298" s="713"/>
      <c r="AA298" s="713"/>
      <c r="AB298" s="713"/>
      <c r="AC298" s="713"/>
      <c r="AD298" s="713"/>
      <c r="AE298" s="713"/>
      <c r="AF298" s="713"/>
      <c r="AG298" s="713"/>
      <c r="AH298" s="713"/>
      <c r="AI298" s="713"/>
      <c r="AJ298" s="713"/>
      <c r="AK298" s="713"/>
      <c r="AL298" s="713"/>
      <c r="AM298" s="713"/>
      <c r="AN298" s="713"/>
      <c r="AO298" s="713"/>
      <c r="AP298" s="714"/>
      <c r="AQ298" s="715"/>
      <c r="AR298" s="707"/>
      <c r="AS298" s="707"/>
    </row>
    <row r="299" spans="1:45" s="711" customFormat="1" ht="12.75" customHeight="1" x14ac:dyDescent="0.25">
      <c r="A299" s="710"/>
      <c r="B299" s="52" t="s">
        <v>593</v>
      </c>
      <c r="C299" s="21"/>
      <c r="D299" s="21"/>
      <c r="E299" s="21"/>
      <c r="F299" s="21"/>
      <c r="G299" s="21"/>
      <c r="H299" s="21"/>
      <c r="I299" s="21"/>
      <c r="J299" s="22"/>
      <c r="K299" s="22"/>
      <c r="L299" s="22"/>
      <c r="M299" s="22"/>
      <c r="N299" s="22"/>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714"/>
      <c r="AQ299" s="715"/>
      <c r="AR299" s="707"/>
      <c r="AS299" s="707"/>
    </row>
    <row r="300" spans="1:45" s="711" customFormat="1" ht="12.75" customHeight="1" x14ac:dyDescent="0.25">
      <c r="A300" s="710"/>
      <c r="B300" s="707"/>
      <c r="C300" s="707"/>
      <c r="F300" s="712"/>
      <c r="G300" s="712"/>
      <c r="H300" s="712"/>
      <c r="I300" s="712"/>
      <c r="J300" s="713"/>
      <c r="K300" s="713"/>
      <c r="L300" s="713"/>
      <c r="M300" s="713"/>
      <c r="N300" s="713"/>
      <c r="O300" s="713"/>
      <c r="P300" s="713"/>
      <c r="Q300" s="713"/>
      <c r="R300" s="713"/>
      <c r="S300" s="713"/>
      <c r="T300" s="713"/>
      <c r="U300" s="713"/>
      <c r="V300" s="713"/>
      <c r="W300" s="713"/>
      <c r="X300" s="713"/>
      <c r="Y300" s="713"/>
      <c r="Z300" s="713"/>
      <c r="AA300" s="713"/>
      <c r="AB300" s="713"/>
      <c r="AC300" s="713"/>
      <c r="AD300" s="713"/>
      <c r="AE300" s="713"/>
      <c r="AF300" s="713"/>
      <c r="AG300" s="713"/>
      <c r="AH300" s="713"/>
      <c r="AI300" s="713"/>
      <c r="AJ300" s="713"/>
      <c r="AK300" s="713"/>
      <c r="AL300" s="713"/>
      <c r="AM300" s="713"/>
      <c r="AN300" s="713"/>
      <c r="AO300" s="713"/>
      <c r="AP300" s="714"/>
      <c r="AQ300" s="715"/>
      <c r="AR300" s="707"/>
      <c r="AS300" s="707"/>
    </row>
    <row r="301" spans="1:45" s="711" customFormat="1" ht="12.75" customHeight="1" x14ac:dyDescent="0.25">
      <c r="A301" s="710"/>
      <c r="B301" s="707"/>
      <c r="C301" s="2029" t="s">
        <v>613</v>
      </c>
      <c r="D301" s="2030"/>
      <c r="E301" s="2030"/>
      <c r="F301" s="2030"/>
      <c r="G301" s="2030"/>
      <c r="H301" s="2030"/>
      <c r="I301" s="2030"/>
      <c r="J301" s="2030"/>
      <c r="K301" s="2030"/>
      <c r="L301" s="2030"/>
      <c r="M301" s="2030"/>
      <c r="N301" s="2030"/>
      <c r="O301" s="2030"/>
      <c r="P301" s="2030"/>
      <c r="Q301" s="2031"/>
      <c r="R301" s="713"/>
      <c r="S301" s="713"/>
      <c r="T301" s="713"/>
      <c r="U301" s="713"/>
      <c r="V301" s="713"/>
      <c r="W301" s="713"/>
      <c r="X301" s="713"/>
      <c r="Y301" s="713"/>
      <c r="Z301" s="713"/>
      <c r="AA301" s="713"/>
      <c r="AB301" s="713"/>
      <c r="AC301" s="713"/>
      <c r="AD301" s="713"/>
      <c r="AE301" s="713"/>
      <c r="AF301" s="713"/>
      <c r="AG301" s="713"/>
      <c r="AH301" s="713"/>
      <c r="AI301" s="713"/>
      <c r="AJ301" s="713"/>
      <c r="AK301" s="713"/>
      <c r="AL301" s="713"/>
      <c r="AM301" s="713"/>
      <c r="AN301" s="713"/>
      <c r="AO301" s="713"/>
      <c r="AP301" s="714"/>
      <c r="AQ301" s="715"/>
      <c r="AR301" s="707"/>
      <c r="AS301" s="707"/>
    </row>
    <row r="302" spans="1:45" s="711" customFormat="1" ht="12.75" customHeight="1" x14ac:dyDescent="0.25">
      <c r="A302" s="710"/>
      <c r="B302" s="707"/>
      <c r="C302" s="2032"/>
      <c r="D302" s="2033"/>
      <c r="E302" s="2033"/>
      <c r="F302" s="2033"/>
      <c r="G302" s="2033"/>
      <c r="H302" s="2033"/>
      <c r="I302" s="2033"/>
      <c r="J302" s="2033"/>
      <c r="K302" s="2033"/>
      <c r="L302" s="2033"/>
      <c r="M302" s="2033"/>
      <c r="N302" s="2033"/>
      <c r="O302" s="2033"/>
      <c r="P302" s="2033"/>
      <c r="Q302" s="2034"/>
      <c r="R302" s="713"/>
      <c r="S302" s="713"/>
      <c r="T302" s="713"/>
      <c r="U302" s="713"/>
      <c r="V302" s="713"/>
      <c r="W302" s="713"/>
      <c r="X302" s="713"/>
      <c r="Y302" s="713"/>
      <c r="Z302" s="713"/>
      <c r="AA302" s="713"/>
      <c r="AB302" s="713"/>
      <c r="AC302" s="713"/>
      <c r="AD302" s="713"/>
      <c r="AE302" s="713"/>
      <c r="AF302" s="713"/>
      <c r="AG302" s="713"/>
      <c r="AH302" s="713"/>
      <c r="AI302" s="713"/>
      <c r="AJ302" s="713"/>
      <c r="AK302" s="713"/>
      <c r="AL302" s="713"/>
      <c r="AM302" s="713"/>
      <c r="AN302" s="713"/>
      <c r="AO302" s="713"/>
      <c r="AP302" s="714"/>
      <c r="AQ302" s="715"/>
      <c r="AR302" s="707"/>
      <c r="AS302" s="707"/>
    </row>
    <row r="303" spans="1:45" s="711" customFormat="1" ht="12.75" customHeight="1" x14ac:dyDescent="0.25">
      <c r="A303" s="710"/>
      <c r="B303" s="707"/>
      <c r="C303" s="2032"/>
      <c r="D303" s="2033"/>
      <c r="E303" s="2033"/>
      <c r="F303" s="2033"/>
      <c r="G303" s="2033"/>
      <c r="H303" s="2033"/>
      <c r="I303" s="2033"/>
      <c r="J303" s="2033"/>
      <c r="K303" s="2033"/>
      <c r="L303" s="2033"/>
      <c r="M303" s="2033"/>
      <c r="N303" s="2033"/>
      <c r="O303" s="2033"/>
      <c r="P303" s="2033"/>
      <c r="Q303" s="2034"/>
      <c r="R303" s="713"/>
      <c r="S303" s="713"/>
      <c r="T303" s="713"/>
      <c r="U303" s="713"/>
      <c r="V303" s="713"/>
      <c r="W303" s="713"/>
      <c r="X303" s="713"/>
      <c r="Y303" s="713"/>
      <c r="Z303" s="713"/>
      <c r="AA303" s="713"/>
      <c r="AB303" s="713"/>
      <c r="AC303" s="713"/>
      <c r="AD303" s="713"/>
      <c r="AE303" s="713"/>
      <c r="AF303" s="713"/>
      <c r="AG303" s="713"/>
      <c r="AH303" s="713"/>
      <c r="AI303" s="713"/>
      <c r="AJ303" s="713"/>
      <c r="AK303" s="713"/>
      <c r="AL303" s="713"/>
      <c r="AM303" s="713"/>
      <c r="AN303" s="713"/>
      <c r="AO303" s="713"/>
      <c r="AP303" s="714"/>
      <c r="AQ303" s="715"/>
      <c r="AR303" s="707"/>
      <c r="AS303" s="707"/>
    </row>
    <row r="304" spans="1:45" s="711" customFormat="1" ht="12.75" customHeight="1" x14ac:dyDescent="0.25">
      <c r="A304" s="710"/>
      <c r="B304" s="707"/>
      <c r="C304" s="2032"/>
      <c r="D304" s="2033"/>
      <c r="E304" s="2033"/>
      <c r="F304" s="2033"/>
      <c r="G304" s="2033"/>
      <c r="H304" s="2033"/>
      <c r="I304" s="2033"/>
      <c r="J304" s="2033"/>
      <c r="K304" s="2033"/>
      <c r="L304" s="2033"/>
      <c r="M304" s="2033"/>
      <c r="N304" s="2033"/>
      <c r="O304" s="2033"/>
      <c r="P304" s="2033"/>
      <c r="Q304" s="2034"/>
      <c r="R304" s="713"/>
      <c r="S304" s="713"/>
      <c r="T304" s="713"/>
      <c r="U304" s="713"/>
      <c r="V304" s="713"/>
      <c r="W304" s="713"/>
      <c r="X304" s="713"/>
      <c r="Y304" s="713"/>
      <c r="Z304" s="713"/>
      <c r="AA304" s="713"/>
      <c r="AB304" s="713"/>
      <c r="AC304" s="713"/>
      <c r="AD304" s="713"/>
      <c r="AE304" s="713"/>
      <c r="AF304" s="713"/>
      <c r="AG304" s="713"/>
      <c r="AH304" s="713"/>
      <c r="AI304" s="713"/>
      <c r="AJ304" s="713"/>
      <c r="AK304" s="713"/>
      <c r="AL304" s="713"/>
      <c r="AM304" s="713"/>
      <c r="AN304" s="713"/>
      <c r="AO304" s="713"/>
      <c r="AP304" s="714"/>
      <c r="AQ304" s="715"/>
      <c r="AR304" s="707"/>
      <c r="AS304" s="707"/>
    </row>
    <row r="305" spans="1:45" s="711" customFormat="1" ht="12.75" customHeight="1" x14ac:dyDescent="0.25">
      <c r="A305" s="710"/>
      <c r="B305" s="707"/>
      <c r="C305" s="2032"/>
      <c r="D305" s="2033"/>
      <c r="E305" s="2033"/>
      <c r="F305" s="2033"/>
      <c r="G305" s="2033"/>
      <c r="H305" s="2033"/>
      <c r="I305" s="2033"/>
      <c r="J305" s="2033"/>
      <c r="K305" s="2033"/>
      <c r="L305" s="2033"/>
      <c r="M305" s="2033"/>
      <c r="N305" s="2033"/>
      <c r="O305" s="2033"/>
      <c r="P305" s="2033"/>
      <c r="Q305" s="2034"/>
      <c r="R305" s="713"/>
      <c r="S305" s="713"/>
      <c r="T305" s="713"/>
      <c r="U305" s="713"/>
      <c r="V305" s="713"/>
      <c r="W305" s="713"/>
      <c r="X305" s="713"/>
      <c r="Y305" s="713"/>
      <c r="Z305" s="713"/>
      <c r="AA305" s="713"/>
      <c r="AB305" s="713"/>
      <c r="AC305" s="713"/>
      <c r="AD305" s="713"/>
      <c r="AE305" s="713"/>
      <c r="AF305" s="713"/>
      <c r="AG305" s="713"/>
      <c r="AH305" s="713"/>
      <c r="AI305" s="713"/>
      <c r="AJ305" s="713"/>
      <c r="AK305" s="713"/>
      <c r="AL305" s="713"/>
      <c r="AM305" s="713"/>
      <c r="AN305" s="713"/>
      <c r="AO305" s="713"/>
      <c r="AP305" s="714"/>
      <c r="AQ305" s="715"/>
      <c r="AR305" s="707"/>
      <c r="AS305" s="707"/>
    </row>
    <row r="306" spans="1:45" s="711" customFormat="1" ht="12.75" customHeight="1" x14ac:dyDescent="0.25">
      <c r="A306" s="710"/>
      <c r="B306" s="707"/>
      <c r="C306" s="2032"/>
      <c r="D306" s="2033"/>
      <c r="E306" s="2033"/>
      <c r="F306" s="2033"/>
      <c r="G306" s="2033"/>
      <c r="H306" s="2033"/>
      <c r="I306" s="2033"/>
      <c r="J306" s="2033"/>
      <c r="K306" s="2033"/>
      <c r="L306" s="2033"/>
      <c r="M306" s="2033"/>
      <c r="N306" s="2033"/>
      <c r="O306" s="2033"/>
      <c r="P306" s="2033"/>
      <c r="Q306" s="2034"/>
      <c r="R306" s="713"/>
      <c r="S306" s="713"/>
      <c r="T306" s="713"/>
      <c r="U306" s="713"/>
      <c r="V306" s="713"/>
      <c r="W306" s="713"/>
      <c r="X306" s="713"/>
      <c r="Y306" s="713"/>
      <c r="Z306" s="713"/>
      <c r="AA306" s="713"/>
      <c r="AB306" s="713"/>
      <c r="AC306" s="713"/>
      <c r="AD306" s="713"/>
      <c r="AE306" s="713"/>
      <c r="AF306" s="713"/>
      <c r="AG306" s="713"/>
      <c r="AH306" s="713"/>
      <c r="AI306" s="713"/>
      <c r="AJ306" s="713"/>
      <c r="AK306" s="713"/>
      <c r="AL306" s="713"/>
      <c r="AM306" s="713"/>
      <c r="AN306" s="713"/>
      <c r="AO306" s="713"/>
      <c r="AP306" s="714"/>
      <c r="AQ306" s="715"/>
      <c r="AR306" s="707"/>
      <c r="AS306" s="707"/>
    </row>
    <row r="307" spans="1:45" s="711" customFormat="1" ht="12.75" customHeight="1" x14ac:dyDescent="0.25">
      <c r="A307" s="710"/>
      <c r="B307" s="707"/>
      <c r="C307" s="2035"/>
      <c r="D307" s="2036"/>
      <c r="E307" s="2036"/>
      <c r="F307" s="2036"/>
      <c r="G307" s="2036"/>
      <c r="H307" s="2036"/>
      <c r="I307" s="2036"/>
      <c r="J307" s="2036"/>
      <c r="K307" s="2036"/>
      <c r="L307" s="2036"/>
      <c r="M307" s="2036"/>
      <c r="N307" s="2036"/>
      <c r="O307" s="2036"/>
      <c r="P307" s="2036"/>
      <c r="Q307" s="2037"/>
      <c r="R307" s="713"/>
      <c r="S307" s="713"/>
      <c r="T307" s="713"/>
      <c r="U307" s="713"/>
      <c r="V307" s="713"/>
      <c r="W307" s="713"/>
      <c r="X307" s="713"/>
      <c r="Y307" s="713"/>
      <c r="Z307" s="713"/>
      <c r="AA307" s="713"/>
      <c r="AB307" s="713"/>
      <c r="AC307" s="713"/>
      <c r="AD307" s="713"/>
      <c r="AE307" s="713"/>
      <c r="AF307" s="713"/>
      <c r="AG307" s="713"/>
      <c r="AH307" s="713"/>
      <c r="AI307" s="713"/>
      <c r="AJ307" s="713"/>
      <c r="AK307" s="713"/>
      <c r="AL307" s="713"/>
      <c r="AM307" s="713"/>
      <c r="AN307" s="713"/>
      <c r="AO307" s="713"/>
      <c r="AP307" s="714"/>
      <c r="AQ307" s="715"/>
      <c r="AR307" s="707"/>
      <c r="AS307" s="707"/>
    </row>
    <row r="308" spans="1:45" s="711" customFormat="1" ht="12.75" customHeight="1" x14ac:dyDescent="0.25">
      <c r="A308" s="710"/>
      <c r="B308" s="707"/>
      <c r="C308" s="707"/>
      <c r="F308" s="712"/>
      <c r="G308" s="712"/>
      <c r="H308" s="712"/>
      <c r="I308" s="712"/>
      <c r="J308" s="713"/>
      <c r="K308" s="713"/>
      <c r="L308" s="713"/>
      <c r="M308" s="713"/>
      <c r="N308" s="713"/>
      <c r="O308" s="713"/>
      <c r="P308" s="713"/>
      <c r="Q308" s="713"/>
      <c r="R308" s="713"/>
      <c r="S308" s="713"/>
      <c r="T308" s="713"/>
      <c r="U308" s="713"/>
      <c r="V308" s="713"/>
      <c r="W308" s="713"/>
      <c r="X308" s="713"/>
      <c r="Y308" s="713"/>
      <c r="Z308" s="713"/>
      <c r="AA308" s="713"/>
      <c r="AB308" s="713"/>
      <c r="AC308" s="713"/>
      <c r="AD308" s="713"/>
      <c r="AE308" s="713"/>
      <c r="AF308" s="713"/>
      <c r="AG308" s="713"/>
      <c r="AH308" s="713"/>
      <c r="AI308" s="713"/>
      <c r="AJ308" s="713"/>
      <c r="AK308" s="713"/>
      <c r="AL308" s="713"/>
      <c r="AM308" s="713"/>
      <c r="AN308" s="713"/>
      <c r="AO308" s="713"/>
      <c r="AP308" s="714"/>
      <c r="AQ308" s="715"/>
      <c r="AR308" s="707"/>
      <c r="AS308" s="707"/>
    </row>
    <row r="309" spans="1:45" s="711" customFormat="1" ht="12.75" customHeight="1" x14ac:dyDescent="0.25">
      <c r="A309" s="710"/>
      <c r="B309" s="707"/>
      <c r="C309" s="707"/>
      <c r="F309" s="712"/>
      <c r="G309" s="712"/>
      <c r="H309" s="712"/>
      <c r="I309" s="712"/>
      <c r="J309" s="713"/>
      <c r="K309" s="713"/>
      <c r="L309" s="713"/>
      <c r="M309" s="713"/>
      <c r="N309" s="713"/>
      <c r="O309" s="713"/>
      <c r="P309" s="713"/>
      <c r="Q309" s="713"/>
      <c r="R309" s="713"/>
      <c r="S309" s="713"/>
      <c r="T309" s="713"/>
      <c r="U309" s="713"/>
      <c r="V309" s="713"/>
      <c r="W309" s="713"/>
      <c r="X309" s="713"/>
      <c r="Y309" s="713"/>
      <c r="Z309" s="713"/>
      <c r="AA309" s="713"/>
      <c r="AB309" s="713"/>
      <c r="AC309" s="713"/>
      <c r="AD309" s="713"/>
      <c r="AE309" s="713"/>
      <c r="AF309" s="713"/>
      <c r="AG309" s="713"/>
      <c r="AH309" s="713"/>
      <c r="AI309" s="713"/>
      <c r="AJ309" s="713"/>
      <c r="AK309" s="713"/>
      <c r="AL309" s="713"/>
      <c r="AM309" s="713"/>
      <c r="AN309" s="713"/>
      <c r="AO309" s="713"/>
      <c r="AP309" s="714"/>
      <c r="AQ309" s="715"/>
      <c r="AR309" s="707"/>
      <c r="AS309" s="707"/>
    </row>
    <row r="310" spans="1:45" s="711" customFormat="1" ht="12.75" customHeight="1" x14ac:dyDescent="0.25">
      <c r="A310" s="710"/>
      <c r="B310" s="707"/>
      <c r="C310" s="707"/>
      <c r="F310" s="712"/>
      <c r="G310" s="712"/>
      <c r="H310" s="712"/>
      <c r="I310" s="712"/>
      <c r="J310" s="713"/>
      <c r="K310" s="713"/>
      <c r="L310" s="713"/>
      <c r="M310" s="713"/>
      <c r="N310" s="713"/>
      <c r="O310" s="713"/>
      <c r="P310" s="713"/>
      <c r="Q310" s="713"/>
      <c r="R310" s="713"/>
      <c r="S310" s="713"/>
      <c r="T310" s="713"/>
      <c r="U310" s="713"/>
      <c r="V310" s="713"/>
      <c r="W310" s="713"/>
      <c r="X310" s="713"/>
      <c r="Y310" s="713"/>
      <c r="Z310" s="713"/>
      <c r="AA310" s="713"/>
      <c r="AB310" s="713"/>
      <c r="AC310" s="713"/>
      <c r="AD310" s="713"/>
      <c r="AE310" s="713"/>
      <c r="AF310" s="713"/>
      <c r="AG310" s="713"/>
      <c r="AH310" s="713"/>
      <c r="AI310" s="713"/>
      <c r="AJ310" s="713"/>
      <c r="AK310" s="713"/>
      <c r="AL310" s="713"/>
      <c r="AM310" s="713"/>
      <c r="AN310" s="713"/>
      <c r="AO310" s="713"/>
      <c r="AP310" s="714"/>
      <c r="AQ310" s="715"/>
      <c r="AR310" s="707"/>
      <c r="AS310" s="707"/>
    </row>
    <row r="311" spans="1:45" s="711" customFormat="1" ht="12.75" customHeight="1" x14ac:dyDescent="0.25">
      <c r="A311" s="44" t="s">
        <v>578</v>
      </c>
      <c r="B311" s="44"/>
      <c r="C311" s="44"/>
      <c r="D311" s="44"/>
      <c r="E311" s="44"/>
      <c r="F311" s="44"/>
      <c r="G311" s="44"/>
      <c r="H311" s="44"/>
      <c r="I311" s="44"/>
      <c r="J311" s="45"/>
      <c r="K311" s="45"/>
      <c r="L311" s="45"/>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714"/>
      <c r="AQ311" s="715"/>
      <c r="AR311" s="707"/>
      <c r="AS311" s="707"/>
    </row>
    <row r="312" spans="1:45" s="711" customFormat="1" ht="12.75" customHeight="1" x14ac:dyDescent="0.25">
      <c r="A312" s="710"/>
      <c r="B312" s="707"/>
      <c r="C312" s="707"/>
      <c r="F312" s="712"/>
      <c r="G312" s="712"/>
      <c r="H312" s="712"/>
      <c r="I312" s="712"/>
      <c r="J312" s="713"/>
      <c r="K312" s="713"/>
      <c r="L312" s="713"/>
      <c r="M312" s="713"/>
      <c r="N312" s="713"/>
      <c r="O312" s="713"/>
      <c r="P312" s="713"/>
      <c r="Q312" s="713"/>
      <c r="R312" s="713"/>
      <c r="S312" s="713"/>
      <c r="T312" s="713"/>
      <c r="U312" s="713"/>
      <c r="V312" s="713"/>
      <c r="W312" s="713"/>
      <c r="X312" s="713"/>
      <c r="Y312" s="713"/>
      <c r="Z312" s="713"/>
      <c r="AA312" s="713"/>
      <c r="AB312" s="713"/>
      <c r="AC312" s="713"/>
      <c r="AD312" s="713"/>
      <c r="AE312" s="713"/>
      <c r="AF312" s="713"/>
      <c r="AG312" s="713"/>
      <c r="AH312" s="713"/>
      <c r="AI312" s="713"/>
      <c r="AJ312" s="713"/>
      <c r="AK312" s="713"/>
      <c r="AL312" s="713"/>
      <c r="AM312" s="713"/>
      <c r="AN312" s="713"/>
      <c r="AO312" s="713"/>
      <c r="AP312" s="714"/>
      <c r="AQ312" s="715"/>
      <c r="AR312" s="707"/>
      <c r="AS312" s="707"/>
    </row>
    <row r="313" spans="1:45" s="711" customFormat="1" ht="12.75" customHeight="1" x14ac:dyDescent="0.25">
      <c r="A313" s="710"/>
      <c r="B313" s="55" t="s">
        <v>518</v>
      </c>
      <c r="C313" s="55"/>
      <c r="D313" s="81"/>
      <c r="E313" s="81"/>
      <c r="F313" s="81"/>
      <c r="G313" s="81"/>
      <c r="H313" s="81"/>
      <c r="I313" s="81"/>
      <c r="J313" s="81"/>
      <c r="K313" s="81"/>
      <c r="L313" s="81"/>
      <c r="M313" s="81"/>
      <c r="N313" s="81"/>
      <c r="O313" s="55"/>
      <c r="P313" s="55"/>
      <c r="Q313" s="55"/>
      <c r="R313" s="788"/>
      <c r="S313" s="788"/>
      <c r="T313" s="788"/>
      <c r="U313" s="788"/>
      <c r="V313" s="788"/>
      <c r="W313" s="788"/>
      <c r="X313" s="788"/>
      <c r="Y313" s="788"/>
      <c r="Z313" s="788"/>
      <c r="AA313" s="788"/>
      <c r="AB313" s="788"/>
      <c r="AC313" s="788"/>
      <c r="AD313" s="788"/>
      <c r="AE313" s="788"/>
      <c r="AF313" s="788"/>
      <c r="AG313" s="788"/>
      <c r="AH313" s="788"/>
      <c r="AI313" s="788"/>
      <c r="AJ313" s="788"/>
      <c r="AK313" s="788"/>
      <c r="AL313" s="788"/>
      <c r="AM313" s="788"/>
      <c r="AN313" s="788"/>
      <c r="AO313" s="788"/>
      <c r="AP313" s="714"/>
      <c r="AQ313" s="715"/>
      <c r="AR313" s="707"/>
      <c r="AS313" s="707"/>
    </row>
    <row r="314" spans="1:45" s="711" customFormat="1" ht="12.75" customHeight="1" x14ac:dyDescent="0.25">
      <c r="A314" s="710"/>
      <c r="B314" s="707"/>
      <c r="C314" s="707"/>
      <c r="F314" s="712"/>
      <c r="G314" s="712"/>
      <c r="H314" s="712"/>
      <c r="I314" s="712"/>
      <c r="J314" s="713"/>
      <c r="K314" s="713"/>
      <c r="L314" s="713"/>
      <c r="M314" s="713"/>
      <c r="N314" s="713"/>
      <c r="O314" s="713"/>
      <c r="P314" s="713"/>
      <c r="Q314" s="713"/>
      <c r="R314" s="713"/>
      <c r="S314" s="713"/>
      <c r="T314" s="713"/>
      <c r="U314" s="713"/>
      <c r="V314" s="713"/>
      <c r="W314" s="713"/>
      <c r="X314" s="713"/>
      <c r="Y314" s="713"/>
      <c r="Z314" s="713"/>
      <c r="AA314" s="713"/>
      <c r="AB314" s="713"/>
      <c r="AC314" s="713"/>
      <c r="AD314" s="713"/>
      <c r="AE314" s="713"/>
      <c r="AF314" s="713"/>
      <c r="AG314" s="713"/>
      <c r="AH314" s="713"/>
      <c r="AI314" s="713"/>
      <c r="AJ314" s="713"/>
      <c r="AK314" s="713"/>
      <c r="AL314" s="713"/>
      <c r="AM314" s="713"/>
      <c r="AN314" s="713"/>
      <c r="AO314" s="713"/>
      <c r="AP314" s="714"/>
      <c r="AQ314" s="715"/>
      <c r="AR314" s="707"/>
      <c r="AS314" s="707"/>
    </row>
    <row r="315" spans="1:45" s="711" customFormat="1" ht="12.75" customHeight="1" x14ac:dyDescent="0.3">
      <c r="A315" s="710"/>
      <c r="B315" s="707"/>
      <c r="C315" s="707" t="s">
        <v>579</v>
      </c>
      <c r="F315" s="712"/>
      <c r="G315" s="712"/>
      <c r="I315" s="712"/>
      <c r="J315" s="713"/>
      <c r="K315" s="713"/>
      <c r="L315" s="713"/>
      <c r="M315" s="713"/>
      <c r="N315" s="713"/>
      <c r="O315" s="2005" t="s">
        <v>585</v>
      </c>
      <c r="P315" s="2006"/>
      <c r="Q315" s="713"/>
      <c r="R315" s="713"/>
      <c r="S315" s="713"/>
      <c r="T315" s="713"/>
      <c r="U315" s="713"/>
      <c r="V315" s="713"/>
      <c r="W315" s="713"/>
      <c r="X315" s="713"/>
      <c r="Y315" s="713"/>
      <c r="Z315" s="713"/>
      <c r="AA315" s="713"/>
      <c r="AB315" s="713"/>
      <c r="AC315" s="713"/>
      <c r="AD315" s="713"/>
      <c r="AE315" s="713"/>
      <c r="AF315" s="713"/>
      <c r="AG315" s="713"/>
      <c r="AH315" s="713"/>
      <c r="AI315" s="713"/>
      <c r="AJ315" s="713"/>
      <c r="AK315" s="713"/>
      <c r="AL315" s="713"/>
      <c r="AM315" s="713"/>
      <c r="AN315" s="713"/>
      <c r="AO315" s="713"/>
      <c r="AP315" s="714"/>
      <c r="AQ315" s="715"/>
      <c r="AR315" s="707"/>
      <c r="AS315" s="707"/>
    </row>
    <row r="316" spans="1:45" s="711" customFormat="1" ht="12.75" customHeight="1" x14ac:dyDescent="0.25">
      <c r="A316" s="710"/>
      <c r="B316" s="707"/>
      <c r="C316" s="707"/>
      <c r="D316" s="707" t="s">
        <v>517</v>
      </c>
      <c r="F316" s="712"/>
      <c r="G316" s="712"/>
      <c r="I316" s="712"/>
      <c r="J316" s="68"/>
      <c r="K316" s="68"/>
      <c r="L316" s="68"/>
      <c r="M316" s="713"/>
      <c r="N316" s="713"/>
      <c r="O316" s="2007" t="s">
        <v>512</v>
      </c>
      <c r="P316" s="2008" t="s">
        <v>512</v>
      </c>
      <c r="Q316" s="713"/>
      <c r="R316" s="713"/>
      <c r="S316" s="713"/>
      <c r="T316" s="713"/>
      <c r="U316" s="713"/>
      <c r="V316" s="713"/>
      <c r="W316" s="713"/>
      <c r="X316" s="713"/>
      <c r="Y316" s="713"/>
      <c r="Z316" s="713"/>
      <c r="AA316" s="713"/>
      <c r="AB316" s="713"/>
      <c r="AC316" s="713"/>
      <c r="AD316" s="713"/>
      <c r="AE316" s="713"/>
      <c r="AF316" s="713"/>
      <c r="AG316" s="713"/>
      <c r="AH316" s="713"/>
      <c r="AI316" s="713"/>
      <c r="AJ316" s="713"/>
      <c r="AK316" s="713"/>
      <c r="AL316" s="713"/>
      <c r="AM316" s="713"/>
      <c r="AN316" s="713"/>
      <c r="AO316" s="713"/>
      <c r="AP316" s="714"/>
      <c r="AQ316" s="715"/>
      <c r="AR316" s="707"/>
      <c r="AS316" s="707"/>
    </row>
    <row r="317" spans="1:45" s="711" customFormat="1" ht="12.75" customHeight="1" x14ac:dyDescent="0.25">
      <c r="A317" s="710"/>
      <c r="B317" s="707"/>
      <c r="C317" s="707"/>
      <c r="D317" s="707" t="s">
        <v>546</v>
      </c>
      <c r="F317" s="712"/>
      <c r="G317" s="712"/>
      <c r="H317" s="712"/>
      <c r="I317" s="712"/>
      <c r="J317" s="713"/>
      <c r="K317" s="713"/>
      <c r="L317" s="713"/>
      <c r="M317" s="713"/>
      <c r="N317" s="713"/>
      <c r="O317" s="1975" t="s">
        <v>513</v>
      </c>
      <c r="P317" s="1976" t="s">
        <v>513</v>
      </c>
      <c r="Q317" s="713"/>
      <c r="R317" s="713"/>
      <c r="S317" s="713"/>
      <c r="T317" s="713"/>
      <c r="U317" s="713"/>
      <c r="V317" s="713"/>
      <c r="W317" s="713"/>
      <c r="X317" s="713"/>
      <c r="Y317" s="713"/>
      <c r="Z317" s="713"/>
      <c r="AA317" s="713"/>
      <c r="AB317" s="713"/>
      <c r="AC317" s="713"/>
      <c r="AD317" s="713"/>
      <c r="AE317" s="713"/>
      <c r="AF317" s="713"/>
      <c r="AG317" s="713"/>
      <c r="AH317" s="713"/>
      <c r="AI317" s="713"/>
      <c r="AJ317" s="713"/>
      <c r="AK317" s="713"/>
      <c r="AL317" s="713"/>
      <c r="AM317" s="713"/>
      <c r="AN317" s="713"/>
      <c r="AO317" s="713"/>
      <c r="AP317" s="714"/>
      <c r="AQ317" s="715"/>
      <c r="AR317" s="707"/>
      <c r="AS317" s="707"/>
    </row>
    <row r="318" spans="1:45" s="711" customFormat="1" ht="12.75" customHeight="1" x14ac:dyDescent="0.25">
      <c r="A318" s="710"/>
      <c r="B318" s="707"/>
      <c r="C318" s="707"/>
      <c r="F318" s="712"/>
      <c r="G318" s="712"/>
      <c r="H318" s="712"/>
      <c r="I318" s="712"/>
      <c r="J318" s="713"/>
      <c r="K318" s="713"/>
      <c r="L318" s="713"/>
      <c r="M318" s="713"/>
      <c r="N318" s="713"/>
      <c r="O318" s="713"/>
      <c r="P318" s="713"/>
      <c r="Q318" s="713"/>
      <c r="R318" s="713"/>
      <c r="S318" s="713"/>
      <c r="T318" s="713"/>
      <c r="U318" s="713"/>
      <c r="V318" s="713"/>
      <c r="W318" s="713"/>
      <c r="X318" s="713"/>
      <c r="Y318" s="713"/>
      <c r="Z318" s="713"/>
      <c r="AA318" s="713"/>
      <c r="AB318" s="713"/>
      <c r="AC318" s="713"/>
      <c r="AD318" s="713"/>
      <c r="AE318" s="713"/>
      <c r="AF318" s="713"/>
      <c r="AG318" s="713"/>
      <c r="AH318" s="713"/>
      <c r="AI318" s="713"/>
      <c r="AJ318" s="713"/>
      <c r="AK318" s="713"/>
      <c r="AL318" s="713"/>
      <c r="AM318" s="713"/>
      <c r="AN318" s="713"/>
      <c r="AO318" s="713"/>
      <c r="AP318" s="714"/>
      <c r="AQ318" s="715"/>
      <c r="AR318" s="707"/>
      <c r="AS318" s="707"/>
    </row>
    <row r="319" spans="1:45" s="711" customFormat="1" ht="12.75" customHeight="1" x14ac:dyDescent="0.25">
      <c r="A319" s="710"/>
      <c r="B319" s="52" t="s">
        <v>592</v>
      </c>
      <c r="C319" s="21"/>
      <c r="D319" s="21"/>
      <c r="E319" s="21"/>
      <c r="F319" s="21"/>
      <c r="G319" s="21"/>
      <c r="H319" s="21"/>
      <c r="I319" s="21"/>
      <c r="J319" s="22"/>
      <c r="K319" s="22"/>
      <c r="L319" s="22"/>
      <c r="M319" s="22"/>
      <c r="N319" s="22"/>
      <c r="O319" s="21"/>
      <c r="P319" s="21"/>
      <c r="Q319" s="21"/>
      <c r="R319" s="21"/>
      <c r="S319" s="21"/>
      <c r="T319" s="21"/>
      <c r="U319" s="21"/>
      <c r="V319" s="713"/>
      <c r="W319" s="713"/>
      <c r="X319" s="713"/>
      <c r="Y319" s="713"/>
      <c r="Z319" s="713"/>
      <c r="AA319" s="713"/>
      <c r="AB319" s="713"/>
      <c r="AC319" s="713"/>
      <c r="AD319" s="713"/>
      <c r="AE319" s="713"/>
      <c r="AF319" s="713"/>
      <c r="AG319" s="713"/>
      <c r="AH319" s="713"/>
      <c r="AI319" s="713"/>
      <c r="AJ319" s="713"/>
      <c r="AK319" s="713"/>
      <c r="AL319" s="713"/>
      <c r="AM319" s="713"/>
      <c r="AN319" s="713"/>
      <c r="AO319" s="713"/>
      <c r="AP319" s="714"/>
      <c r="AQ319" s="715"/>
      <c r="AR319" s="707"/>
      <c r="AS319" s="707"/>
    </row>
    <row r="320" spans="1:45" s="711" customFormat="1" ht="12.75" customHeight="1" x14ac:dyDescent="0.25">
      <c r="A320" s="710"/>
      <c r="B320" s="8"/>
      <c r="C320" s="8"/>
      <c r="D320" s="8"/>
      <c r="E320" s="8"/>
      <c r="F320" s="8"/>
      <c r="G320" s="8"/>
      <c r="H320" s="8"/>
      <c r="I320" s="11"/>
      <c r="J320" s="1128"/>
      <c r="K320" s="1128"/>
      <c r="L320" s="1128"/>
      <c r="M320" s="1128"/>
      <c r="N320" s="1128"/>
      <c r="O320" s="1128"/>
      <c r="P320" s="40"/>
      <c r="Q320" s="8"/>
      <c r="R320" s="8"/>
      <c r="S320" s="8"/>
      <c r="T320" s="8"/>
      <c r="U320" s="8"/>
      <c r="V320" s="713"/>
      <c r="W320" s="713"/>
      <c r="X320" s="713"/>
      <c r="Y320" s="713"/>
      <c r="Z320" s="713"/>
      <c r="AA320" s="713"/>
      <c r="AB320" s="713"/>
      <c r="AC320" s="713"/>
      <c r="AD320" s="713"/>
      <c r="AE320" s="713"/>
      <c r="AF320" s="713"/>
      <c r="AG320" s="713"/>
      <c r="AH320" s="713"/>
      <c r="AI320" s="713"/>
      <c r="AJ320" s="713"/>
      <c r="AK320" s="713"/>
      <c r="AL320" s="713"/>
      <c r="AM320" s="713"/>
      <c r="AN320" s="713"/>
      <c r="AO320" s="713"/>
      <c r="AP320" s="714"/>
      <c r="AQ320" s="715"/>
      <c r="AR320" s="707"/>
      <c r="AS320" s="707"/>
    </row>
    <row r="321" spans="1:45" s="711" customFormat="1" ht="12.75" customHeight="1" x14ac:dyDescent="0.25">
      <c r="A321" s="710"/>
      <c r="B321" s="8"/>
      <c r="C321" s="8"/>
      <c r="D321" s="8"/>
      <c r="E321" s="8"/>
      <c r="F321" s="8"/>
      <c r="G321" s="8"/>
      <c r="H321" s="8"/>
      <c r="I321" s="11"/>
      <c r="J321" s="1128"/>
      <c r="K321" s="1128"/>
      <c r="L321" s="1128"/>
      <c r="M321" s="1128"/>
      <c r="N321" s="1128"/>
      <c r="O321" s="1128"/>
      <c r="P321" s="40"/>
      <c r="Q321" s="8"/>
      <c r="R321" s="8"/>
      <c r="S321" s="8"/>
      <c r="T321" s="8"/>
      <c r="U321" s="8"/>
      <c r="V321" s="713"/>
      <c r="W321" s="713"/>
      <c r="X321" s="713"/>
      <c r="Y321" s="713"/>
      <c r="Z321" s="713"/>
      <c r="AA321" s="713"/>
      <c r="AB321" s="713"/>
      <c r="AC321" s="713"/>
      <c r="AD321" s="713"/>
      <c r="AE321" s="713"/>
      <c r="AF321" s="713"/>
      <c r="AG321" s="713"/>
      <c r="AH321" s="713"/>
      <c r="AI321" s="713"/>
      <c r="AJ321" s="713"/>
      <c r="AK321" s="713"/>
      <c r="AL321" s="713"/>
      <c r="AM321" s="713"/>
      <c r="AN321" s="713"/>
      <c r="AO321" s="713"/>
      <c r="AP321" s="714"/>
      <c r="AQ321" s="715"/>
      <c r="AR321" s="707"/>
      <c r="AS321" s="707"/>
    </row>
    <row r="322" spans="1:45" s="711" customFormat="1" ht="12.75" customHeight="1" x14ac:dyDescent="0.25">
      <c r="A322" s="710"/>
      <c r="B322" s="8"/>
      <c r="C322" s="8"/>
      <c r="D322" s="8"/>
      <c r="E322" s="8"/>
      <c r="F322" s="8"/>
      <c r="G322" s="8"/>
      <c r="H322" s="8"/>
      <c r="I322" s="8"/>
      <c r="J322" s="1127"/>
      <c r="K322" s="1127"/>
      <c r="L322" s="1127"/>
      <c r="M322" s="1127"/>
      <c r="N322" s="1583" t="s">
        <v>464</v>
      </c>
      <c r="O322" s="1584"/>
      <c r="P322" s="1584"/>
      <c r="Q322" s="1585"/>
      <c r="R322" s="8"/>
      <c r="S322" s="8"/>
      <c r="T322" s="8"/>
      <c r="U322" s="8"/>
      <c r="V322" s="713"/>
      <c r="W322" s="713"/>
      <c r="X322" s="713"/>
      <c r="Y322" s="713"/>
      <c r="Z322" s="713"/>
      <c r="AA322" s="713"/>
      <c r="AB322" s="713"/>
      <c r="AC322" s="713"/>
      <c r="AD322" s="713"/>
      <c r="AE322" s="713"/>
      <c r="AF322" s="713"/>
      <c r="AG322" s="713"/>
      <c r="AH322" s="713"/>
      <c r="AI322" s="713"/>
      <c r="AJ322" s="713"/>
      <c r="AK322" s="713"/>
      <c r="AL322" s="713"/>
      <c r="AM322" s="713"/>
      <c r="AN322" s="713"/>
      <c r="AO322" s="713"/>
      <c r="AP322" s="714"/>
      <c r="AQ322" s="715"/>
      <c r="AR322" s="707"/>
      <c r="AS322" s="707"/>
    </row>
    <row r="323" spans="1:45" s="711" customFormat="1" ht="12.75" customHeight="1" x14ac:dyDescent="0.25">
      <c r="A323" s="710"/>
      <c r="B323" s="8"/>
      <c r="C323" s="8"/>
      <c r="D323" s="8"/>
      <c r="E323" s="8"/>
      <c r="F323" s="8"/>
      <c r="G323" s="8"/>
      <c r="H323" s="8"/>
      <c r="I323" s="8"/>
      <c r="J323" s="1127"/>
      <c r="K323" s="1127"/>
      <c r="L323" s="1127"/>
      <c r="M323" s="1127"/>
      <c r="N323" s="1501" t="s">
        <v>200</v>
      </c>
      <c r="O323" s="1502"/>
      <c r="P323" s="1503" t="s">
        <v>201</v>
      </c>
      <c r="Q323" s="1504"/>
      <c r="R323" s="8"/>
      <c r="S323" s="8"/>
      <c r="T323" s="8"/>
      <c r="U323" s="8"/>
      <c r="V323" s="713"/>
      <c r="W323" s="713"/>
      <c r="X323" s="713"/>
      <c r="Y323" s="713"/>
      <c r="Z323" s="713"/>
      <c r="AA323" s="713"/>
      <c r="AB323" s="713"/>
      <c r="AC323" s="713"/>
      <c r="AD323" s="713"/>
      <c r="AE323" s="713"/>
      <c r="AF323" s="713"/>
      <c r="AG323" s="713"/>
      <c r="AH323" s="713"/>
      <c r="AI323" s="713"/>
      <c r="AJ323" s="713"/>
      <c r="AK323" s="713"/>
      <c r="AL323" s="713"/>
      <c r="AM323" s="713"/>
      <c r="AN323" s="713"/>
      <c r="AO323" s="713"/>
      <c r="AP323" s="714"/>
      <c r="AQ323" s="715"/>
      <c r="AR323" s="707"/>
      <c r="AS323" s="707"/>
    </row>
    <row r="324" spans="1:45" s="711" customFormat="1" ht="12.75" customHeight="1" x14ac:dyDescent="0.25">
      <c r="A324" s="710"/>
      <c r="C324" s="11" t="s">
        <v>465</v>
      </c>
      <c r="E324" s="11"/>
      <c r="F324" s="11"/>
      <c r="G324" s="11"/>
      <c r="H324" s="11"/>
      <c r="I324" s="11"/>
      <c r="J324" s="1128" t="s">
        <v>614</v>
      </c>
      <c r="K324" s="1128"/>
      <c r="L324" s="1128"/>
      <c r="M324" s="1128"/>
      <c r="N324" s="1977">
        <v>0</v>
      </c>
      <c r="O324" s="1978"/>
      <c r="P324" s="1979">
        <v>0</v>
      </c>
      <c r="Q324" s="1980"/>
      <c r="R324" s="8"/>
      <c r="S324" s="8"/>
      <c r="T324" s="8"/>
      <c r="U324" s="8"/>
      <c r="V324" s="713"/>
      <c r="W324" s="713"/>
      <c r="X324" s="713"/>
      <c r="Y324" s="713"/>
      <c r="Z324" s="713"/>
      <c r="AA324" s="713"/>
      <c r="AB324" s="713"/>
      <c r="AC324" s="713"/>
      <c r="AD324" s="713"/>
      <c r="AE324" s="713"/>
      <c r="AF324" s="713"/>
      <c r="AG324" s="713"/>
      <c r="AH324" s="713"/>
      <c r="AI324" s="713"/>
      <c r="AJ324" s="713"/>
      <c r="AK324" s="713"/>
      <c r="AL324" s="713"/>
      <c r="AM324" s="713"/>
      <c r="AN324" s="713"/>
      <c r="AO324" s="713"/>
      <c r="AP324" s="714"/>
      <c r="AQ324" s="715"/>
      <c r="AR324" s="707"/>
      <c r="AS324" s="707"/>
    </row>
    <row r="325" spans="1:45" s="711" customFormat="1" ht="12.75" customHeight="1" x14ac:dyDescent="0.25">
      <c r="A325" s="710"/>
      <c r="D325" s="8" t="s">
        <v>466</v>
      </c>
      <c r="F325" s="11"/>
      <c r="G325" s="11"/>
      <c r="H325" s="11"/>
      <c r="I325" s="11"/>
      <c r="J325" s="1127" t="s">
        <v>614</v>
      </c>
      <c r="K325" s="1127"/>
      <c r="L325" s="1127"/>
      <c r="M325" s="1128"/>
      <c r="N325" s="2009">
        <v>0</v>
      </c>
      <c r="O325" s="2010"/>
      <c r="P325" s="2011">
        <v>0</v>
      </c>
      <c r="Q325" s="2012"/>
      <c r="R325" s="8"/>
      <c r="S325" s="8"/>
      <c r="T325" s="8"/>
      <c r="U325" s="8"/>
      <c r="V325" s="713"/>
      <c r="W325" s="713"/>
      <c r="X325" s="713"/>
      <c r="Y325" s="713"/>
      <c r="Z325" s="713"/>
      <c r="AA325" s="713"/>
      <c r="AB325" s="713"/>
      <c r="AC325" s="713"/>
      <c r="AD325" s="713"/>
      <c r="AE325" s="713"/>
      <c r="AF325" s="713"/>
      <c r="AG325" s="713"/>
      <c r="AH325" s="713"/>
      <c r="AI325" s="713"/>
      <c r="AJ325" s="713"/>
      <c r="AK325" s="713"/>
      <c r="AL325" s="713"/>
      <c r="AM325" s="713"/>
      <c r="AN325" s="713"/>
      <c r="AO325" s="713"/>
      <c r="AP325" s="714"/>
      <c r="AQ325" s="715"/>
      <c r="AR325" s="707"/>
      <c r="AS325" s="707"/>
    </row>
    <row r="326" spans="1:45" s="711" customFormat="1" ht="12.75" customHeight="1" x14ac:dyDescent="0.25">
      <c r="A326" s="710"/>
      <c r="D326" s="8" t="s">
        <v>496</v>
      </c>
      <c r="F326" s="11"/>
      <c r="G326" s="11"/>
      <c r="H326" s="11"/>
      <c r="I326" s="11"/>
      <c r="J326" s="1127" t="s">
        <v>614</v>
      </c>
      <c r="K326" s="1165"/>
      <c r="L326" s="1165"/>
      <c r="M326" s="1166"/>
      <c r="N326" s="2009">
        <v>0</v>
      </c>
      <c r="O326" s="2010"/>
      <c r="P326" s="2011">
        <v>0</v>
      </c>
      <c r="Q326" s="2012"/>
      <c r="R326" s="8"/>
      <c r="S326" s="8"/>
      <c r="T326" s="8"/>
      <c r="U326" s="8"/>
      <c r="V326" s="713"/>
      <c r="W326" s="713"/>
      <c r="X326" s="713"/>
      <c r="Y326" s="713"/>
      <c r="Z326" s="713"/>
      <c r="AA326" s="713"/>
      <c r="AB326" s="713"/>
      <c r="AC326" s="713"/>
      <c r="AD326" s="713"/>
      <c r="AE326" s="713"/>
      <c r="AF326" s="713"/>
      <c r="AG326" s="713"/>
      <c r="AH326" s="713"/>
      <c r="AI326" s="713"/>
      <c r="AJ326" s="713"/>
      <c r="AK326" s="713"/>
      <c r="AL326" s="713"/>
      <c r="AM326" s="713"/>
      <c r="AN326" s="713"/>
      <c r="AO326" s="713"/>
      <c r="AP326" s="714"/>
      <c r="AQ326" s="715"/>
      <c r="AR326" s="707"/>
      <c r="AS326" s="707"/>
    </row>
    <row r="327" spans="1:45" s="711" customFormat="1" ht="12.75" customHeight="1" x14ac:dyDescent="0.25">
      <c r="A327" s="710"/>
      <c r="D327" s="8" t="s">
        <v>467</v>
      </c>
      <c r="E327" s="11"/>
      <c r="F327" s="11"/>
      <c r="G327" s="11"/>
      <c r="H327" s="11"/>
      <c r="I327" s="11"/>
      <c r="J327" s="1165" t="s">
        <v>614</v>
      </c>
      <c r="L327" s="1127"/>
      <c r="M327" s="1128"/>
      <c r="N327" s="2013">
        <v>0</v>
      </c>
      <c r="O327" s="2014"/>
      <c r="P327" s="2015">
        <v>0</v>
      </c>
      <c r="Q327" s="2016"/>
      <c r="R327" s="8"/>
      <c r="S327" s="8"/>
      <c r="T327" s="8"/>
      <c r="U327" s="8"/>
      <c r="V327" s="713"/>
      <c r="W327" s="713"/>
      <c r="X327" s="713"/>
      <c r="Y327" s="713"/>
      <c r="Z327" s="713"/>
      <c r="AA327" s="713"/>
      <c r="AB327" s="713"/>
      <c r="AC327" s="713"/>
      <c r="AD327" s="713"/>
      <c r="AE327" s="713"/>
      <c r="AF327" s="713"/>
      <c r="AG327" s="713"/>
      <c r="AH327" s="713"/>
      <c r="AI327" s="713"/>
      <c r="AJ327" s="713"/>
      <c r="AK327" s="713"/>
      <c r="AL327" s="713"/>
      <c r="AM327" s="713"/>
      <c r="AN327" s="713"/>
      <c r="AO327" s="713"/>
      <c r="AP327" s="714"/>
      <c r="AQ327" s="715"/>
      <c r="AR327" s="707"/>
      <c r="AS327" s="707"/>
    </row>
    <row r="328" spans="1:45" s="711" customFormat="1" ht="12.75" customHeight="1" x14ac:dyDescent="0.25">
      <c r="A328" s="710"/>
      <c r="B328" s="8"/>
      <c r="C328" s="8"/>
      <c r="D328" s="8"/>
      <c r="E328" s="8"/>
      <c r="F328" s="8"/>
      <c r="G328" s="8"/>
      <c r="H328" s="8"/>
      <c r="I328" s="11"/>
      <c r="J328" s="1128"/>
      <c r="K328" s="1128"/>
      <c r="L328" s="1128"/>
      <c r="M328" s="1128"/>
      <c r="N328" s="1128"/>
      <c r="O328" s="1128"/>
      <c r="P328" s="40"/>
      <c r="Q328" s="8"/>
      <c r="R328" s="8"/>
      <c r="S328" s="8"/>
      <c r="T328" s="8"/>
      <c r="U328" s="8"/>
      <c r="V328" s="713"/>
      <c r="W328" s="713"/>
      <c r="X328" s="713"/>
      <c r="Y328" s="713"/>
      <c r="Z328" s="713"/>
      <c r="AA328" s="713"/>
      <c r="AB328" s="713"/>
      <c r="AC328" s="713"/>
      <c r="AD328" s="713"/>
      <c r="AE328" s="713"/>
      <c r="AF328" s="713"/>
      <c r="AG328" s="713"/>
      <c r="AH328" s="713"/>
      <c r="AI328" s="713"/>
      <c r="AJ328" s="713"/>
      <c r="AK328" s="713"/>
      <c r="AL328" s="713"/>
      <c r="AM328" s="713"/>
      <c r="AN328" s="713"/>
      <c r="AO328" s="713"/>
      <c r="AP328" s="714"/>
      <c r="AQ328" s="715"/>
      <c r="AR328" s="707"/>
      <c r="AS328" s="707"/>
    </row>
    <row r="329" spans="1:45" s="711" customFormat="1" ht="12.75" customHeight="1" x14ac:dyDescent="0.25">
      <c r="A329" s="710"/>
      <c r="B329" s="8"/>
      <c r="C329" s="8"/>
      <c r="D329" s="8"/>
      <c r="E329" s="8"/>
      <c r="F329" s="8"/>
      <c r="G329" s="8"/>
      <c r="H329" s="8"/>
      <c r="I329" s="11"/>
      <c r="J329" s="1128"/>
      <c r="K329" s="1128"/>
      <c r="L329" s="1128"/>
      <c r="M329" s="1128"/>
      <c r="N329" s="1128"/>
      <c r="O329" s="1128"/>
      <c r="P329" s="40"/>
      <c r="Q329" s="8"/>
      <c r="R329" s="8"/>
      <c r="S329" s="8"/>
      <c r="T329" s="8"/>
      <c r="U329" s="8"/>
      <c r="V329" s="713"/>
      <c r="W329" s="713"/>
      <c r="X329" s="713"/>
      <c r="Y329" s="713"/>
      <c r="Z329" s="713"/>
      <c r="AA329" s="713"/>
      <c r="AB329" s="713"/>
      <c r="AC329" s="713"/>
      <c r="AD329" s="713"/>
      <c r="AE329" s="713"/>
      <c r="AF329" s="713"/>
      <c r="AG329" s="713"/>
      <c r="AH329" s="713"/>
      <c r="AI329" s="713"/>
      <c r="AJ329" s="713"/>
      <c r="AK329" s="713"/>
      <c r="AL329" s="713"/>
      <c r="AM329" s="713"/>
      <c r="AN329" s="713"/>
      <c r="AO329" s="713"/>
      <c r="AP329" s="714"/>
      <c r="AQ329" s="715"/>
      <c r="AR329" s="707"/>
      <c r="AS329" s="707"/>
    </row>
    <row r="330" spans="1:45" s="711" customFormat="1" ht="12.75" customHeight="1" x14ac:dyDescent="0.25">
      <c r="A330" s="710"/>
      <c r="B330" s="8"/>
      <c r="C330" s="8"/>
      <c r="D330" s="8"/>
      <c r="E330" s="8"/>
      <c r="F330" s="8"/>
      <c r="G330" s="8"/>
      <c r="H330" s="8"/>
      <c r="I330" s="8"/>
      <c r="J330" s="1128"/>
      <c r="K330" s="1128"/>
      <c r="L330" s="1128"/>
      <c r="M330" s="1128"/>
      <c r="N330" s="1583" t="s">
        <v>464</v>
      </c>
      <c r="O330" s="1584"/>
      <c r="P330" s="1584"/>
      <c r="Q330" s="1585"/>
      <c r="R330" s="8"/>
      <c r="S330" s="8"/>
      <c r="T330" s="8"/>
      <c r="U330" s="8"/>
      <c r="V330" s="713"/>
      <c r="W330" s="713"/>
      <c r="X330" s="713"/>
      <c r="Y330" s="713"/>
      <c r="Z330" s="713"/>
      <c r="AA330" s="713"/>
      <c r="AB330" s="713"/>
      <c r="AC330" s="713"/>
      <c r="AD330" s="713"/>
      <c r="AE330" s="713"/>
      <c r="AF330" s="713"/>
      <c r="AG330" s="713"/>
      <c r="AH330" s="713"/>
      <c r="AI330" s="713"/>
      <c r="AJ330" s="713"/>
      <c r="AK330" s="713"/>
      <c r="AL330" s="713"/>
      <c r="AM330" s="713"/>
      <c r="AN330" s="713"/>
      <c r="AO330" s="713"/>
      <c r="AP330" s="714"/>
      <c r="AQ330" s="715"/>
      <c r="AR330" s="707"/>
      <c r="AS330" s="707"/>
    </row>
    <row r="331" spans="1:45" s="711" customFormat="1" ht="12.75" customHeight="1" x14ac:dyDescent="0.25">
      <c r="A331" s="710"/>
      <c r="B331" s="8"/>
      <c r="C331" s="11"/>
      <c r="D331" s="11"/>
      <c r="E331" s="11"/>
      <c r="F331" s="11"/>
      <c r="G331" s="11"/>
      <c r="H331" s="11"/>
      <c r="I331" s="8"/>
      <c r="J331" s="1128"/>
      <c r="K331" s="1128"/>
      <c r="L331" s="1128"/>
      <c r="M331" s="1128"/>
      <c r="N331" s="1501" t="s">
        <v>200</v>
      </c>
      <c r="O331" s="1502"/>
      <c r="P331" s="1503" t="s">
        <v>201</v>
      </c>
      <c r="Q331" s="1504"/>
      <c r="R331" s="8"/>
      <c r="S331" s="8"/>
      <c r="T331" s="8"/>
      <c r="U331" s="8"/>
      <c r="V331" s="713"/>
      <c r="W331" s="713"/>
      <c r="X331" s="713"/>
      <c r="Y331" s="713"/>
      <c r="Z331" s="713"/>
      <c r="AA331" s="713"/>
      <c r="AB331" s="713"/>
      <c r="AC331" s="713"/>
      <c r="AD331" s="713"/>
      <c r="AE331" s="713"/>
      <c r="AF331" s="713"/>
      <c r="AG331" s="713"/>
      <c r="AH331" s="713"/>
      <c r="AI331" s="713"/>
      <c r="AJ331" s="713"/>
      <c r="AK331" s="713"/>
      <c r="AL331" s="713"/>
      <c r="AM331" s="713"/>
      <c r="AN331" s="713"/>
      <c r="AO331" s="713"/>
      <c r="AP331" s="714"/>
      <c r="AQ331" s="715"/>
      <c r="AR331" s="707"/>
      <c r="AS331" s="707"/>
    </row>
    <row r="332" spans="1:45" s="711" customFormat="1" ht="12.75" customHeight="1" x14ac:dyDescent="0.25">
      <c r="A332" s="710"/>
      <c r="B332" s="8"/>
      <c r="C332" s="11" t="s">
        <v>146</v>
      </c>
      <c r="D332" s="11"/>
      <c r="E332" s="11"/>
      <c r="F332" s="11"/>
      <c r="G332" s="11"/>
      <c r="H332" s="11"/>
      <c r="I332" s="8"/>
      <c r="J332" s="1128"/>
      <c r="K332" s="1128"/>
      <c r="L332" s="1128"/>
      <c r="M332" s="1128"/>
      <c r="N332" s="1644"/>
      <c r="O332" s="1645"/>
      <c r="P332" s="1640"/>
      <c r="Q332" s="1641"/>
      <c r="R332" s="8"/>
      <c r="S332" s="8"/>
      <c r="T332" s="8"/>
      <c r="U332" s="8"/>
      <c r="V332" s="713"/>
      <c r="W332" s="713"/>
      <c r="X332" s="713"/>
      <c r="Y332" s="713"/>
      <c r="Z332" s="713"/>
      <c r="AA332" s="713"/>
      <c r="AB332" s="713"/>
      <c r="AC332" s="713"/>
      <c r="AD332" s="713"/>
      <c r="AE332" s="713"/>
      <c r="AF332" s="713"/>
      <c r="AG332" s="713"/>
      <c r="AH332" s="713"/>
      <c r="AI332" s="713"/>
      <c r="AJ332" s="713"/>
      <c r="AK332" s="713"/>
      <c r="AL332" s="713"/>
      <c r="AM332" s="713"/>
      <c r="AN332" s="713"/>
      <c r="AO332" s="713"/>
      <c r="AP332" s="714"/>
      <c r="AQ332" s="715"/>
      <c r="AR332" s="707"/>
      <c r="AS332" s="707"/>
    </row>
    <row r="333" spans="1:45" s="711" customFormat="1" ht="12.75" customHeight="1" x14ac:dyDescent="0.25">
      <c r="A333" s="710"/>
      <c r="B333" s="8"/>
      <c r="C333" s="11"/>
      <c r="D333" s="11" t="s">
        <v>245</v>
      </c>
      <c r="E333" s="11"/>
      <c r="F333" s="11"/>
      <c r="G333" s="11"/>
      <c r="H333" s="11"/>
      <c r="I333" s="8"/>
      <c r="J333" s="1128"/>
      <c r="K333" s="1128"/>
      <c r="L333" s="1128"/>
      <c r="M333" s="1128"/>
      <c r="N333" s="1985">
        <v>0</v>
      </c>
      <c r="O333" s="1986"/>
      <c r="P333" s="1987">
        <v>0</v>
      </c>
      <c r="Q333" s="1988"/>
      <c r="R333" s="8"/>
      <c r="S333" s="8"/>
      <c r="T333" s="8"/>
      <c r="U333" s="8"/>
      <c r="V333" s="713"/>
      <c r="W333" s="713"/>
      <c r="X333" s="713"/>
      <c r="Y333" s="713"/>
      <c r="Z333" s="713"/>
      <c r="AA333" s="713"/>
      <c r="AB333" s="713"/>
      <c r="AC333" s="713"/>
      <c r="AD333" s="713"/>
      <c r="AE333" s="713"/>
      <c r="AF333" s="713"/>
      <c r="AG333" s="713"/>
      <c r="AH333" s="713"/>
      <c r="AI333" s="713"/>
      <c r="AJ333" s="713"/>
      <c r="AK333" s="713"/>
      <c r="AL333" s="713"/>
      <c r="AM333" s="713"/>
      <c r="AN333" s="713"/>
      <c r="AO333" s="713"/>
      <c r="AP333" s="714"/>
      <c r="AQ333" s="715"/>
      <c r="AR333" s="707"/>
      <c r="AS333" s="707"/>
    </row>
    <row r="334" spans="1:45" s="711" customFormat="1" ht="12.75" customHeight="1" x14ac:dyDescent="0.25">
      <c r="A334" s="710"/>
      <c r="B334" s="8"/>
      <c r="C334" s="8"/>
      <c r="D334" s="8" t="s">
        <v>471</v>
      </c>
      <c r="E334" s="8"/>
      <c r="F334" s="8"/>
      <c r="G334" s="8"/>
      <c r="H334" s="8"/>
      <c r="I334" s="8"/>
      <c r="J334" s="1127" t="s">
        <v>154</v>
      </c>
      <c r="K334" s="1127"/>
      <c r="L334" s="1127"/>
      <c r="M334" s="1127"/>
      <c r="N334" s="1995">
        <v>0</v>
      </c>
      <c r="O334" s="1996"/>
      <c r="P334" s="1993">
        <v>0</v>
      </c>
      <c r="Q334" s="1994"/>
      <c r="R334" s="8"/>
      <c r="S334" s="8"/>
      <c r="T334" s="8"/>
      <c r="U334" s="8"/>
      <c r="V334" s="713"/>
      <c r="W334" s="713"/>
      <c r="X334" s="713"/>
      <c r="Y334" s="713"/>
      <c r="Z334" s="713"/>
      <c r="AA334" s="713"/>
      <c r="AB334" s="713"/>
      <c r="AC334" s="713"/>
      <c r="AD334" s="713"/>
      <c r="AE334" s="713"/>
      <c r="AF334" s="713"/>
      <c r="AG334" s="713"/>
      <c r="AH334" s="713"/>
      <c r="AI334" s="713"/>
      <c r="AJ334" s="713"/>
      <c r="AK334" s="713"/>
      <c r="AL334" s="713"/>
      <c r="AM334" s="713"/>
      <c r="AN334" s="713"/>
      <c r="AO334" s="713"/>
      <c r="AP334" s="714"/>
      <c r="AQ334" s="715"/>
      <c r="AR334" s="707"/>
      <c r="AS334" s="707"/>
    </row>
    <row r="335" spans="1:45" s="711" customFormat="1" ht="12.75" customHeight="1" x14ac:dyDescent="0.25">
      <c r="A335" s="710"/>
      <c r="B335" s="8"/>
      <c r="C335" s="8"/>
      <c r="D335" s="1129" t="s">
        <v>533</v>
      </c>
      <c r="E335" s="8"/>
      <c r="F335" s="8"/>
      <c r="G335" s="8"/>
      <c r="H335" s="8"/>
      <c r="I335" s="8"/>
      <c r="J335" s="1127" t="s">
        <v>154</v>
      </c>
      <c r="K335" s="1127"/>
      <c r="L335" s="1127"/>
      <c r="M335" s="1127"/>
      <c r="N335" s="1995">
        <v>0</v>
      </c>
      <c r="O335" s="1996"/>
      <c r="P335" s="1993">
        <v>0</v>
      </c>
      <c r="Q335" s="1994"/>
      <c r="R335" s="8"/>
      <c r="S335" s="8"/>
      <c r="T335" s="8"/>
      <c r="U335" s="8"/>
      <c r="V335" s="713"/>
      <c r="W335" s="713"/>
      <c r="X335" s="713"/>
      <c r="Y335" s="713"/>
      <c r="Z335" s="713"/>
      <c r="AA335" s="713"/>
      <c r="AB335" s="713"/>
      <c r="AC335" s="713"/>
      <c r="AD335" s="713"/>
      <c r="AE335" s="713"/>
      <c r="AF335" s="713"/>
      <c r="AG335" s="713"/>
      <c r="AH335" s="713"/>
      <c r="AI335" s="713"/>
      <c r="AJ335" s="713"/>
      <c r="AK335" s="713"/>
      <c r="AL335" s="713"/>
      <c r="AM335" s="713"/>
      <c r="AN335" s="713"/>
      <c r="AO335" s="713"/>
      <c r="AP335" s="714"/>
      <c r="AQ335" s="715"/>
      <c r="AR335" s="707"/>
      <c r="AS335" s="707"/>
    </row>
    <row r="336" spans="1:45" s="711" customFormat="1" ht="12.75" customHeight="1" x14ac:dyDescent="0.25">
      <c r="A336" s="710"/>
      <c r="B336" s="8"/>
      <c r="C336" s="8"/>
      <c r="D336" s="8" t="s">
        <v>306</v>
      </c>
      <c r="E336" s="8"/>
      <c r="F336" s="8"/>
      <c r="G336" s="8"/>
      <c r="H336" s="8"/>
      <c r="I336" s="8"/>
      <c r="J336" s="1127" t="s">
        <v>154</v>
      </c>
      <c r="K336" s="1127"/>
      <c r="L336" s="1127"/>
      <c r="M336" s="1127"/>
      <c r="N336" s="1995">
        <v>0</v>
      </c>
      <c r="O336" s="1996"/>
      <c r="P336" s="1993">
        <v>0</v>
      </c>
      <c r="Q336" s="1994"/>
      <c r="R336" s="8"/>
      <c r="S336" s="8"/>
      <c r="T336" s="8"/>
      <c r="U336" s="8"/>
      <c r="V336" s="713"/>
      <c r="W336" s="713"/>
      <c r="X336" s="713"/>
      <c r="Y336" s="713"/>
      <c r="Z336" s="713"/>
      <c r="AA336" s="713"/>
      <c r="AB336" s="713"/>
      <c r="AC336" s="713"/>
      <c r="AD336" s="713"/>
      <c r="AE336" s="713"/>
      <c r="AF336" s="713"/>
      <c r="AG336" s="713"/>
      <c r="AH336" s="713"/>
      <c r="AI336" s="713"/>
      <c r="AJ336" s="713"/>
      <c r="AK336" s="713"/>
      <c r="AL336" s="713"/>
      <c r="AM336" s="713"/>
      <c r="AN336" s="713"/>
      <c r="AO336" s="713"/>
      <c r="AP336" s="714"/>
      <c r="AQ336" s="715"/>
      <c r="AR336" s="707"/>
      <c r="AS336" s="707"/>
    </row>
    <row r="337" spans="1:45" s="711" customFormat="1" ht="12.75" customHeight="1" x14ac:dyDescent="0.25">
      <c r="A337" s="710"/>
      <c r="B337" s="8"/>
      <c r="C337" s="8"/>
      <c r="D337" s="8" t="s">
        <v>305</v>
      </c>
      <c r="E337" s="8"/>
      <c r="F337" s="8"/>
      <c r="G337" s="8"/>
      <c r="H337" s="8"/>
      <c r="I337" s="8"/>
      <c r="J337" s="1127" t="s">
        <v>154</v>
      </c>
      <c r="K337" s="1127"/>
      <c r="L337" s="1127"/>
      <c r="M337" s="1127"/>
      <c r="N337" s="1995">
        <v>0</v>
      </c>
      <c r="O337" s="1996"/>
      <c r="P337" s="1993">
        <v>0</v>
      </c>
      <c r="Q337" s="1994"/>
      <c r="R337" s="8"/>
      <c r="S337" s="8"/>
      <c r="T337" s="8"/>
      <c r="U337" s="8"/>
      <c r="V337" s="713"/>
      <c r="W337" s="713"/>
      <c r="X337" s="713"/>
      <c r="Y337" s="713"/>
      <c r="Z337" s="713"/>
      <c r="AA337" s="713"/>
      <c r="AB337" s="713"/>
      <c r="AC337" s="713"/>
      <c r="AD337" s="713"/>
      <c r="AE337" s="713"/>
      <c r="AF337" s="713"/>
      <c r="AG337" s="713"/>
      <c r="AH337" s="713"/>
      <c r="AI337" s="713"/>
      <c r="AJ337" s="713"/>
      <c r="AK337" s="713"/>
      <c r="AL337" s="713"/>
      <c r="AM337" s="713"/>
      <c r="AN337" s="713"/>
      <c r="AO337" s="713"/>
      <c r="AP337" s="714"/>
      <c r="AQ337" s="715"/>
      <c r="AR337" s="707"/>
      <c r="AS337" s="707"/>
    </row>
    <row r="338" spans="1:45" s="711" customFormat="1" ht="12.75" customHeight="1" x14ac:dyDescent="0.25">
      <c r="A338" s="710"/>
      <c r="B338" s="8"/>
      <c r="C338" s="8"/>
      <c r="D338" s="8"/>
      <c r="E338" s="8"/>
      <c r="F338" s="8"/>
      <c r="G338" s="8"/>
      <c r="H338" s="8"/>
      <c r="I338" s="8"/>
      <c r="J338" s="1127"/>
      <c r="K338" s="1127"/>
      <c r="L338" s="1127"/>
      <c r="M338" s="1127"/>
      <c r="N338" s="1413"/>
      <c r="O338" s="1414"/>
      <c r="P338" s="1415"/>
      <c r="Q338" s="1416"/>
      <c r="R338" s="8"/>
      <c r="S338" s="8"/>
      <c r="T338" s="8"/>
      <c r="U338" s="8"/>
      <c r="V338" s="713"/>
      <c r="W338" s="713"/>
      <c r="X338" s="713"/>
      <c r="Y338" s="713"/>
      <c r="Z338" s="713"/>
      <c r="AA338" s="713"/>
      <c r="AB338" s="713"/>
      <c r="AC338" s="713"/>
      <c r="AD338" s="713"/>
      <c r="AE338" s="713"/>
      <c r="AF338" s="713"/>
      <c r="AG338" s="713"/>
      <c r="AH338" s="713"/>
      <c r="AI338" s="713"/>
      <c r="AJ338" s="713"/>
      <c r="AK338" s="713"/>
      <c r="AL338" s="713"/>
      <c r="AM338" s="713"/>
      <c r="AN338" s="713"/>
      <c r="AO338" s="713"/>
      <c r="AP338" s="714"/>
      <c r="AQ338" s="715"/>
      <c r="AR338" s="707"/>
      <c r="AS338" s="707"/>
    </row>
    <row r="339" spans="1:45" s="711" customFormat="1" ht="12.75" customHeight="1" x14ac:dyDescent="0.25">
      <c r="A339" s="710"/>
      <c r="B339" s="8"/>
      <c r="C339" s="11" t="s">
        <v>147</v>
      </c>
      <c r="D339" s="8"/>
      <c r="E339" s="8"/>
      <c r="F339" s="8"/>
      <c r="G339" s="8"/>
      <c r="H339" s="8"/>
      <c r="I339" s="8"/>
      <c r="J339" s="1127"/>
      <c r="K339" s="1127"/>
      <c r="L339" s="1127"/>
      <c r="M339" s="1127"/>
      <c r="N339" s="1413"/>
      <c r="O339" s="1414"/>
      <c r="P339" s="1415"/>
      <c r="Q339" s="1416"/>
      <c r="R339" s="8"/>
      <c r="S339" s="8"/>
      <c r="T339" s="8"/>
      <c r="U339" s="8"/>
      <c r="V339" s="713"/>
      <c r="W339" s="713"/>
      <c r="X339" s="713"/>
      <c r="Y339" s="713"/>
      <c r="Z339" s="713"/>
      <c r="AA339" s="713"/>
      <c r="AB339" s="713"/>
      <c r="AC339" s="713"/>
      <c r="AD339" s="713"/>
      <c r="AE339" s="713"/>
      <c r="AF339" s="713"/>
      <c r="AG339" s="713"/>
      <c r="AH339" s="713"/>
      <c r="AI339" s="713"/>
      <c r="AJ339" s="713"/>
      <c r="AK339" s="713"/>
      <c r="AL339" s="713"/>
      <c r="AM339" s="713"/>
      <c r="AN339" s="713"/>
      <c r="AO339" s="713"/>
      <c r="AP339" s="714"/>
      <c r="AQ339" s="715"/>
      <c r="AR339" s="707"/>
      <c r="AS339" s="707"/>
    </row>
    <row r="340" spans="1:45" s="711" customFormat="1" ht="12.75" customHeight="1" x14ac:dyDescent="0.25">
      <c r="A340" s="710"/>
      <c r="B340" s="8"/>
      <c r="C340" s="8"/>
      <c r="D340" s="11" t="s">
        <v>245</v>
      </c>
      <c r="E340" s="11"/>
      <c r="F340" s="11"/>
      <c r="G340" s="11"/>
      <c r="H340" s="11"/>
      <c r="I340" s="8"/>
      <c r="J340" s="1128"/>
      <c r="K340" s="1128"/>
      <c r="L340" s="1128"/>
      <c r="M340" s="1128"/>
      <c r="N340" s="1995"/>
      <c r="O340" s="2019"/>
      <c r="P340" s="1987">
        <v>0</v>
      </c>
      <c r="Q340" s="1988"/>
      <c r="R340" s="8"/>
      <c r="S340" s="8"/>
      <c r="T340" s="8"/>
      <c r="U340" s="8"/>
      <c r="V340" s="713"/>
      <c r="W340" s="713"/>
      <c r="X340" s="713"/>
      <c r="Y340" s="713"/>
      <c r="Z340" s="713"/>
      <c r="AA340" s="713"/>
      <c r="AB340" s="713"/>
      <c r="AC340" s="713"/>
      <c r="AD340" s="713"/>
      <c r="AE340" s="713"/>
      <c r="AF340" s="713"/>
      <c r="AG340" s="713"/>
      <c r="AH340" s="713"/>
      <c r="AI340" s="713"/>
      <c r="AJ340" s="713"/>
      <c r="AK340" s="713"/>
      <c r="AL340" s="713"/>
      <c r="AM340" s="713"/>
      <c r="AN340" s="713"/>
      <c r="AO340" s="713"/>
      <c r="AP340" s="714"/>
      <c r="AQ340" s="715"/>
      <c r="AR340" s="707"/>
      <c r="AS340" s="707"/>
    </row>
    <row r="341" spans="1:45" s="711" customFormat="1" ht="12.75" customHeight="1" x14ac:dyDescent="0.25">
      <c r="A341" s="710"/>
      <c r="B341" s="8"/>
      <c r="C341" s="8"/>
      <c r="D341" s="8" t="s">
        <v>306</v>
      </c>
      <c r="E341" s="8"/>
      <c r="F341" s="8"/>
      <c r="G341" s="8"/>
      <c r="H341" s="8"/>
      <c r="I341" s="8"/>
      <c r="J341" s="1127" t="s">
        <v>154</v>
      </c>
      <c r="K341" s="1127"/>
      <c r="L341" s="1127"/>
      <c r="M341" s="1127"/>
      <c r="N341" s="1995">
        <v>0</v>
      </c>
      <c r="O341" s="1996"/>
      <c r="P341" s="1993">
        <v>0</v>
      </c>
      <c r="Q341" s="1994"/>
      <c r="R341" s="8"/>
      <c r="S341" s="8"/>
      <c r="T341" s="8"/>
      <c r="U341" s="8"/>
      <c r="V341" s="713"/>
      <c r="W341" s="713"/>
      <c r="X341" s="713"/>
      <c r="Y341" s="713"/>
      <c r="Z341" s="713"/>
      <c r="AA341" s="713"/>
      <c r="AB341" s="713"/>
      <c r="AC341" s="713"/>
      <c r="AD341" s="713"/>
      <c r="AE341" s="713"/>
      <c r="AF341" s="713"/>
      <c r="AG341" s="713"/>
      <c r="AH341" s="713"/>
      <c r="AI341" s="713"/>
      <c r="AJ341" s="713"/>
      <c r="AK341" s="713"/>
      <c r="AL341" s="713"/>
      <c r="AM341" s="713"/>
      <c r="AN341" s="713"/>
      <c r="AO341" s="713"/>
      <c r="AP341" s="714"/>
      <c r="AQ341" s="715"/>
      <c r="AR341" s="707"/>
      <c r="AS341" s="707"/>
    </row>
    <row r="342" spans="1:45" s="711" customFormat="1" ht="12.75" customHeight="1" x14ac:dyDescent="0.25">
      <c r="A342" s="710"/>
      <c r="B342" s="8"/>
      <c r="C342" s="8"/>
      <c r="D342" s="8" t="s">
        <v>305</v>
      </c>
      <c r="E342" s="8"/>
      <c r="F342" s="8"/>
      <c r="G342" s="8"/>
      <c r="H342" s="8"/>
      <c r="I342" s="8"/>
      <c r="J342" s="1127" t="s">
        <v>154</v>
      </c>
      <c r="K342" s="1127"/>
      <c r="L342" s="1127"/>
      <c r="M342" s="1127"/>
      <c r="N342" s="1995">
        <v>0</v>
      </c>
      <c r="O342" s="1996"/>
      <c r="P342" s="1993">
        <v>0</v>
      </c>
      <c r="Q342" s="1994"/>
      <c r="R342" s="8"/>
      <c r="S342" s="8"/>
      <c r="T342" s="8"/>
      <c r="U342" s="8"/>
      <c r="V342" s="713"/>
      <c r="W342" s="713"/>
      <c r="X342" s="713"/>
      <c r="Y342" s="713"/>
      <c r="Z342" s="713"/>
      <c r="AA342" s="713"/>
      <c r="AB342" s="713"/>
      <c r="AC342" s="713"/>
      <c r="AD342" s="713"/>
      <c r="AE342" s="713"/>
      <c r="AF342" s="713"/>
      <c r="AG342" s="713"/>
      <c r="AH342" s="713"/>
      <c r="AI342" s="713"/>
      <c r="AJ342" s="713"/>
      <c r="AK342" s="713"/>
      <c r="AL342" s="713"/>
      <c r="AM342" s="713"/>
      <c r="AN342" s="713"/>
      <c r="AO342" s="713"/>
      <c r="AP342" s="714"/>
      <c r="AQ342" s="715"/>
      <c r="AR342" s="707"/>
      <c r="AS342" s="707"/>
    </row>
    <row r="343" spans="1:45" s="711" customFormat="1" ht="12.75" customHeight="1" x14ac:dyDescent="0.25">
      <c r="A343" s="710"/>
      <c r="B343" s="8"/>
      <c r="C343" s="8"/>
      <c r="D343" s="1634" t="s">
        <v>534</v>
      </c>
      <c r="E343" s="1634"/>
      <c r="F343" s="1634"/>
      <c r="G343" s="1634"/>
      <c r="H343" s="1634"/>
      <c r="I343" s="1634"/>
      <c r="J343" s="1127" t="s">
        <v>154</v>
      </c>
      <c r="K343" s="1127"/>
      <c r="L343" s="1127"/>
      <c r="M343" s="1127"/>
      <c r="N343" s="1995">
        <v>0</v>
      </c>
      <c r="O343" s="1996"/>
      <c r="P343" s="1993">
        <v>0</v>
      </c>
      <c r="Q343" s="1994"/>
      <c r="R343" s="29"/>
      <c r="S343" s="8"/>
      <c r="T343" s="8"/>
      <c r="U343" s="8"/>
      <c r="V343" s="713"/>
      <c r="W343" s="713"/>
      <c r="X343" s="713"/>
      <c r="Y343" s="713"/>
      <c r="Z343" s="713"/>
      <c r="AA343" s="713"/>
      <c r="AB343" s="713"/>
      <c r="AC343" s="713"/>
      <c r="AD343" s="713"/>
      <c r="AE343" s="713"/>
      <c r="AF343" s="713"/>
      <c r="AG343" s="713"/>
      <c r="AH343" s="713"/>
      <c r="AI343" s="713"/>
      <c r="AJ343" s="713"/>
      <c r="AK343" s="713"/>
      <c r="AL343" s="713"/>
      <c r="AM343" s="713"/>
      <c r="AN343" s="713"/>
      <c r="AO343" s="713"/>
      <c r="AP343" s="714"/>
      <c r="AQ343" s="715"/>
      <c r="AR343" s="707"/>
      <c r="AS343" s="707"/>
    </row>
    <row r="344" spans="1:45" s="711" customFormat="1" ht="12.75" customHeight="1" x14ac:dyDescent="0.25">
      <c r="A344" s="710"/>
      <c r="B344" s="8"/>
      <c r="C344" s="8"/>
      <c r="D344" s="1634" t="s">
        <v>535</v>
      </c>
      <c r="E344" s="1634"/>
      <c r="F344" s="1634"/>
      <c r="G344" s="1634"/>
      <c r="H344" s="1634"/>
      <c r="I344" s="1634"/>
      <c r="J344" s="1127" t="s">
        <v>154</v>
      </c>
      <c r="K344" s="1127"/>
      <c r="L344" s="1127"/>
      <c r="M344" s="1127"/>
      <c r="N344" s="1995"/>
      <c r="O344" s="1996"/>
      <c r="P344" s="1993">
        <v>0</v>
      </c>
      <c r="Q344" s="1994"/>
      <c r="R344" s="8"/>
      <c r="S344" s="8"/>
      <c r="T344" s="8"/>
      <c r="U344" s="8"/>
      <c r="V344" s="713"/>
      <c r="W344" s="713"/>
      <c r="X344" s="713"/>
      <c r="Y344" s="713"/>
      <c r="Z344" s="713"/>
      <c r="AA344" s="713"/>
      <c r="AB344" s="713"/>
      <c r="AC344" s="713"/>
      <c r="AD344" s="713"/>
      <c r="AE344" s="713"/>
      <c r="AF344" s="713"/>
      <c r="AG344" s="713"/>
      <c r="AH344" s="713"/>
      <c r="AI344" s="713"/>
      <c r="AJ344" s="713"/>
      <c r="AK344" s="713"/>
      <c r="AL344" s="713"/>
      <c r="AM344" s="713"/>
      <c r="AN344" s="713"/>
      <c r="AO344" s="713"/>
      <c r="AP344" s="714"/>
      <c r="AQ344" s="715"/>
      <c r="AR344" s="707"/>
      <c r="AS344" s="707"/>
    </row>
    <row r="345" spans="1:45" s="711" customFormat="1" ht="12.75" customHeight="1" x14ac:dyDescent="0.25">
      <c r="A345" s="710"/>
      <c r="B345" s="8"/>
      <c r="C345" s="8"/>
      <c r="D345" s="8"/>
      <c r="E345" s="8"/>
      <c r="F345" s="8"/>
      <c r="G345" s="8"/>
      <c r="H345" s="8"/>
      <c r="I345" s="8"/>
      <c r="J345" s="1127"/>
      <c r="K345" s="1127"/>
      <c r="L345" s="1127"/>
      <c r="M345" s="1127"/>
      <c r="N345" s="1413"/>
      <c r="O345" s="1414"/>
      <c r="P345" s="1415"/>
      <c r="Q345" s="1416"/>
      <c r="R345" s="8"/>
      <c r="S345" s="8"/>
      <c r="T345" s="8"/>
      <c r="U345" s="8"/>
      <c r="V345" s="713"/>
      <c r="W345" s="713"/>
      <c r="X345" s="713"/>
      <c r="Y345" s="713"/>
      <c r="Z345" s="713"/>
      <c r="AA345" s="713"/>
      <c r="AB345" s="713"/>
      <c r="AC345" s="713"/>
      <c r="AD345" s="713"/>
      <c r="AE345" s="713"/>
      <c r="AF345" s="713"/>
      <c r="AG345" s="713"/>
      <c r="AH345" s="713"/>
      <c r="AI345" s="713"/>
      <c r="AJ345" s="713"/>
      <c r="AK345" s="713"/>
      <c r="AL345" s="713"/>
      <c r="AM345" s="713"/>
      <c r="AN345" s="713"/>
      <c r="AO345" s="713"/>
      <c r="AP345" s="714"/>
      <c r="AQ345" s="715"/>
      <c r="AR345" s="707"/>
      <c r="AS345" s="707"/>
    </row>
    <row r="346" spans="1:45" s="711" customFormat="1" ht="12.75" customHeight="1" x14ac:dyDescent="0.25">
      <c r="A346" s="710"/>
      <c r="B346" s="8"/>
      <c r="C346" s="11" t="s">
        <v>186</v>
      </c>
      <c r="D346" s="11"/>
      <c r="E346" s="11"/>
      <c r="F346" s="11"/>
      <c r="G346" s="11"/>
      <c r="H346" s="11"/>
      <c r="I346" s="8"/>
      <c r="J346" s="747"/>
      <c r="K346" s="747"/>
      <c r="L346" s="747"/>
      <c r="M346" s="747"/>
      <c r="N346" s="1989"/>
      <c r="O346" s="1990"/>
      <c r="P346" s="1991"/>
      <c r="Q346" s="1992"/>
      <c r="R346" s="8"/>
      <c r="S346" s="8"/>
      <c r="T346" s="8"/>
      <c r="U346" s="8"/>
      <c r="V346" s="713"/>
      <c r="W346" s="713"/>
      <c r="X346" s="713"/>
      <c r="Y346" s="713"/>
      <c r="Z346" s="713"/>
      <c r="AA346" s="713"/>
      <c r="AB346" s="713"/>
      <c r="AC346" s="713"/>
      <c r="AD346" s="713"/>
      <c r="AE346" s="713"/>
      <c r="AF346" s="713"/>
      <c r="AG346" s="713"/>
      <c r="AH346" s="713"/>
      <c r="AI346" s="713"/>
      <c r="AJ346" s="713"/>
      <c r="AK346" s="713"/>
      <c r="AL346" s="713"/>
      <c r="AM346" s="713"/>
      <c r="AN346" s="713"/>
      <c r="AO346" s="713"/>
      <c r="AP346" s="714"/>
      <c r="AQ346" s="715"/>
      <c r="AR346" s="707"/>
      <c r="AS346" s="707"/>
    </row>
    <row r="347" spans="1:45" s="711" customFormat="1" ht="12.75" customHeight="1" x14ac:dyDescent="0.25">
      <c r="A347" s="710"/>
      <c r="B347" s="8"/>
      <c r="C347" s="8"/>
      <c r="D347" s="8" t="s">
        <v>472</v>
      </c>
      <c r="E347" s="8"/>
      <c r="F347" s="8"/>
      <c r="G347" s="8"/>
      <c r="H347" s="8"/>
      <c r="I347" s="8"/>
      <c r="J347" s="1127" t="s">
        <v>614</v>
      </c>
      <c r="K347" s="1127"/>
      <c r="L347" s="1127"/>
      <c r="M347" s="1127"/>
      <c r="N347" s="2001">
        <v>0</v>
      </c>
      <c r="O347" s="2002"/>
      <c r="P347" s="2003">
        <v>0</v>
      </c>
      <c r="Q347" s="2004"/>
      <c r="R347" s="8"/>
      <c r="S347" s="8"/>
      <c r="T347" s="8"/>
      <c r="U347" s="8"/>
      <c r="V347" s="713"/>
      <c r="W347" s="713"/>
      <c r="X347" s="713"/>
      <c r="Y347" s="713"/>
      <c r="Z347" s="713"/>
      <c r="AA347" s="713"/>
      <c r="AB347" s="713"/>
      <c r="AC347" s="713"/>
      <c r="AD347" s="713"/>
      <c r="AE347" s="713"/>
      <c r="AF347" s="713"/>
      <c r="AG347" s="713"/>
      <c r="AH347" s="713"/>
      <c r="AI347" s="713"/>
      <c r="AJ347" s="713"/>
      <c r="AK347" s="713"/>
      <c r="AL347" s="713"/>
      <c r="AM347" s="713"/>
      <c r="AN347" s="713"/>
      <c r="AO347" s="713"/>
      <c r="AP347" s="714"/>
      <c r="AQ347" s="715"/>
      <c r="AR347" s="707"/>
      <c r="AS347" s="707"/>
    </row>
    <row r="348" spans="1:45" s="711" customFormat="1" ht="12.75" customHeight="1" x14ac:dyDescent="0.25">
      <c r="A348" s="710"/>
      <c r="B348" s="8"/>
      <c r="C348" s="8"/>
      <c r="D348" s="8" t="s">
        <v>473</v>
      </c>
      <c r="E348" s="8"/>
      <c r="F348" s="8"/>
      <c r="G348" s="8"/>
      <c r="H348" s="8"/>
      <c r="I348" s="8"/>
      <c r="J348" s="1127" t="s">
        <v>16</v>
      </c>
      <c r="K348" s="1127"/>
      <c r="L348" s="1127"/>
      <c r="M348" s="1127"/>
      <c r="N348" s="1417"/>
      <c r="O348" s="1414"/>
      <c r="P348" s="2017">
        <v>0</v>
      </c>
      <c r="Q348" s="2018"/>
      <c r="R348" s="8"/>
      <c r="S348" s="8"/>
      <c r="T348" s="8"/>
      <c r="U348" s="8"/>
      <c r="V348" s="713"/>
      <c r="W348" s="713"/>
      <c r="X348" s="713"/>
      <c r="Y348" s="713"/>
      <c r="Z348" s="713"/>
      <c r="AA348" s="713"/>
      <c r="AB348" s="713"/>
      <c r="AC348" s="713"/>
      <c r="AD348" s="713"/>
      <c r="AE348" s="713"/>
      <c r="AF348" s="713"/>
      <c r="AG348" s="713"/>
      <c r="AH348" s="713"/>
      <c r="AI348" s="713"/>
      <c r="AJ348" s="713"/>
      <c r="AK348" s="713"/>
      <c r="AL348" s="713"/>
      <c r="AM348" s="713"/>
      <c r="AN348" s="713"/>
      <c r="AO348" s="713"/>
      <c r="AP348" s="714"/>
      <c r="AQ348" s="715"/>
      <c r="AR348" s="707"/>
      <c r="AS348" s="707"/>
    </row>
    <row r="349" spans="1:45" s="711" customFormat="1" ht="12.75" customHeight="1" x14ac:dyDescent="0.25">
      <c r="A349" s="710"/>
      <c r="B349" s="8"/>
      <c r="C349" s="8"/>
      <c r="D349" s="8" t="s">
        <v>276</v>
      </c>
      <c r="E349" s="8"/>
      <c r="F349" s="8"/>
      <c r="G349" s="8"/>
      <c r="H349" s="8"/>
      <c r="I349" s="8"/>
      <c r="J349" s="1127" t="s">
        <v>614</v>
      </c>
      <c r="K349" s="1127"/>
      <c r="L349" s="1127"/>
      <c r="M349" s="1127"/>
      <c r="N349" s="2001">
        <v>0</v>
      </c>
      <c r="O349" s="2002"/>
      <c r="P349" s="2003">
        <v>0</v>
      </c>
      <c r="Q349" s="2004"/>
      <c r="R349" s="8"/>
      <c r="S349" s="8"/>
      <c r="T349" s="8"/>
      <c r="U349" s="8"/>
      <c r="V349" s="713"/>
      <c r="W349" s="713"/>
      <c r="X349" s="713"/>
      <c r="Y349" s="713"/>
      <c r="Z349" s="713"/>
      <c r="AA349" s="713"/>
      <c r="AB349" s="713"/>
      <c r="AC349" s="713"/>
      <c r="AD349" s="713"/>
      <c r="AE349" s="713"/>
      <c r="AF349" s="713"/>
      <c r="AG349" s="713"/>
      <c r="AH349" s="713"/>
      <c r="AI349" s="713"/>
      <c r="AJ349" s="713"/>
      <c r="AK349" s="713"/>
      <c r="AL349" s="713"/>
      <c r="AM349" s="713"/>
      <c r="AN349" s="713"/>
      <c r="AO349" s="713"/>
      <c r="AP349" s="714"/>
      <c r="AQ349" s="715"/>
      <c r="AR349" s="707"/>
      <c r="AS349" s="707"/>
    </row>
    <row r="350" spans="1:45" s="711" customFormat="1" ht="12.75" customHeight="1" x14ac:dyDescent="0.25">
      <c r="A350" s="710"/>
      <c r="B350" s="8"/>
      <c r="C350" s="8"/>
      <c r="D350" s="8" t="s">
        <v>307</v>
      </c>
      <c r="E350" s="8"/>
      <c r="F350" s="8"/>
      <c r="G350" s="8"/>
      <c r="H350" s="8"/>
      <c r="I350" s="8"/>
      <c r="J350" s="1127" t="s">
        <v>614</v>
      </c>
      <c r="K350" s="1127"/>
      <c r="L350" s="1127"/>
      <c r="M350" s="1127"/>
      <c r="N350" s="2001">
        <v>0</v>
      </c>
      <c r="O350" s="2002"/>
      <c r="P350" s="2003">
        <v>0</v>
      </c>
      <c r="Q350" s="2004"/>
      <c r="R350" s="8"/>
      <c r="S350" s="8"/>
      <c r="T350" s="8"/>
      <c r="U350" s="8"/>
      <c r="V350" s="713"/>
      <c r="W350" s="713"/>
      <c r="X350" s="713"/>
      <c r="Y350" s="713"/>
      <c r="Z350" s="713"/>
      <c r="AA350" s="713"/>
      <c r="AB350" s="713"/>
      <c r="AC350" s="713"/>
      <c r="AD350" s="713"/>
      <c r="AE350" s="713"/>
      <c r="AF350" s="713"/>
      <c r="AG350" s="713"/>
      <c r="AH350" s="713"/>
      <c r="AI350" s="713"/>
      <c r="AJ350" s="713"/>
      <c r="AK350" s="713"/>
      <c r="AL350" s="713"/>
      <c r="AM350" s="713"/>
      <c r="AN350" s="713"/>
      <c r="AO350" s="713"/>
      <c r="AP350" s="714"/>
      <c r="AQ350" s="715"/>
      <c r="AR350" s="707"/>
      <c r="AS350" s="707"/>
    </row>
    <row r="351" spans="1:45" s="711" customFormat="1" ht="12.75" customHeight="1" x14ac:dyDescent="0.25">
      <c r="A351" s="710"/>
      <c r="B351" s="8"/>
      <c r="C351" s="8"/>
      <c r="D351" s="8"/>
      <c r="E351" s="8"/>
      <c r="F351" s="8"/>
      <c r="G351" s="8"/>
      <c r="H351" s="8"/>
      <c r="I351" s="8"/>
      <c r="J351" s="1127"/>
      <c r="K351" s="1127"/>
      <c r="L351" s="1127"/>
      <c r="M351" s="1127"/>
      <c r="N351" s="1417"/>
      <c r="O351" s="1418"/>
      <c r="P351" s="1419"/>
      <c r="Q351" s="1420"/>
      <c r="R351" s="8"/>
      <c r="S351" s="8"/>
      <c r="T351" s="8"/>
      <c r="U351" s="8"/>
      <c r="V351" s="713"/>
      <c r="W351" s="713"/>
      <c r="X351" s="713"/>
      <c r="Y351" s="713"/>
      <c r="Z351" s="713"/>
      <c r="AA351" s="713"/>
      <c r="AB351" s="713"/>
      <c r="AC351" s="713"/>
      <c r="AD351" s="713"/>
      <c r="AE351" s="713"/>
      <c r="AF351" s="713"/>
      <c r="AG351" s="713"/>
      <c r="AH351" s="713"/>
      <c r="AI351" s="713"/>
      <c r="AJ351" s="713"/>
      <c r="AK351" s="713"/>
      <c r="AL351" s="713"/>
      <c r="AM351" s="713"/>
      <c r="AN351" s="713"/>
      <c r="AO351" s="713"/>
      <c r="AP351" s="714"/>
      <c r="AQ351" s="715"/>
      <c r="AR351" s="707"/>
      <c r="AS351" s="707"/>
    </row>
    <row r="352" spans="1:45" s="711" customFormat="1" ht="12.75" customHeight="1" x14ac:dyDescent="0.25">
      <c r="A352" s="710"/>
      <c r="B352" s="8"/>
      <c r="C352" s="11" t="s">
        <v>148</v>
      </c>
      <c r="D352" s="11"/>
      <c r="E352" s="11"/>
      <c r="F352" s="11"/>
      <c r="G352" s="11"/>
      <c r="H352" s="11"/>
      <c r="I352" s="8"/>
      <c r="J352" s="747"/>
      <c r="K352" s="747"/>
      <c r="L352" s="747"/>
      <c r="M352" s="747"/>
      <c r="N352" s="1989"/>
      <c r="O352" s="1990"/>
      <c r="P352" s="1991"/>
      <c r="Q352" s="1992"/>
      <c r="R352" s="8"/>
      <c r="S352" s="8"/>
      <c r="T352" s="8"/>
      <c r="U352" s="8"/>
      <c r="V352" s="713"/>
      <c r="W352" s="713"/>
      <c r="X352" s="713"/>
      <c r="Y352" s="713"/>
      <c r="Z352" s="713"/>
      <c r="AA352" s="713"/>
      <c r="AB352" s="713"/>
      <c r="AC352" s="713"/>
      <c r="AD352" s="713"/>
      <c r="AE352" s="713"/>
      <c r="AF352" s="713"/>
      <c r="AG352" s="713"/>
      <c r="AH352" s="713"/>
      <c r="AI352" s="713"/>
      <c r="AJ352" s="713"/>
      <c r="AK352" s="713"/>
      <c r="AL352" s="713"/>
      <c r="AM352" s="713"/>
      <c r="AN352" s="713"/>
      <c r="AO352" s="713"/>
      <c r="AP352" s="714"/>
      <c r="AQ352" s="715"/>
      <c r="AR352" s="707"/>
      <c r="AS352" s="707"/>
    </row>
    <row r="353" spans="1:45" s="711" customFormat="1" ht="12.75" customHeight="1" x14ac:dyDescent="0.25">
      <c r="A353" s="710"/>
      <c r="B353" s="8"/>
      <c r="C353" s="8"/>
      <c r="D353" s="8"/>
      <c r="E353" s="1411" t="s">
        <v>629</v>
      </c>
      <c r="F353" s="8"/>
      <c r="G353" s="8"/>
      <c r="H353" s="8"/>
      <c r="I353" s="8"/>
      <c r="J353" s="1409" t="s">
        <v>617</v>
      </c>
      <c r="K353" s="1409"/>
      <c r="L353" s="1409"/>
      <c r="M353" s="1409"/>
      <c r="N353" s="1967">
        <v>0</v>
      </c>
      <c r="O353" s="1968"/>
      <c r="P353" s="1969">
        <v>0</v>
      </c>
      <c r="Q353" s="1970"/>
      <c r="R353" s="8"/>
      <c r="S353" s="8"/>
      <c r="T353" s="8"/>
      <c r="U353" s="8"/>
      <c r="V353" s="713"/>
      <c r="W353" s="713"/>
      <c r="X353" s="713"/>
      <c r="Y353" s="713"/>
      <c r="Z353" s="713"/>
      <c r="AA353" s="713"/>
      <c r="AB353" s="713"/>
      <c r="AC353" s="713"/>
      <c r="AD353" s="713"/>
      <c r="AE353" s="713"/>
      <c r="AF353" s="713"/>
      <c r="AG353" s="713"/>
      <c r="AH353" s="713"/>
      <c r="AI353" s="713"/>
      <c r="AJ353" s="713"/>
      <c r="AK353" s="713"/>
      <c r="AL353" s="713"/>
      <c r="AM353" s="713"/>
      <c r="AN353" s="713"/>
      <c r="AO353" s="713"/>
      <c r="AP353" s="714"/>
      <c r="AQ353" s="715"/>
      <c r="AR353" s="707"/>
      <c r="AS353" s="707"/>
    </row>
    <row r="354" spans="1:45" s="711" customFormat="1" ht="12.75" customHeight="1" x14ac:dyDescent="0.25">
      <c r="A354" s="710"/>
      <c r="B354" s="8"/>
      <c r="C354" s="8"/>
      <c r="D354" s="8"/>
      <c r="E354" s="1411" t="s">
        <v>630</v>
      </c>
      <c r="F354" s="8"/>
      <c r="G354" s="8"/>
      <c r="H354" s="8"/>
      <c r="I354" s="8"/>
      <c r="J354" s="1409" t="s">
        <v>617</v>
      </c>
      <c r="K354" s="1409"/>
      <c r="L354" s="1409"/>
      <c r="M354" s="1409"/>
      <c r="N354" s="1967">
        <v>0</v>
      </c>
      <c r="O354" s="1968"/>
      <c r="P354" s="1969">
        <v>0</v>
      </c>
      <c r="Q354" s="1970"/>
      <c r="R354" s="8"/>
      <c r="S354" s="8"/>
      <c r="T354" s="8"/>
      <c r="U354" s="8"/>
      <c r="V354" s="713"/>
      <c r="W354" s="713"/>
      <c r="X354" s="713"/>
      <c r="Y354" s="713"/>
      <c r="Z354" s="713"/>
      <c r="AA354" s="713"/>
      <c r="AB354" s="713"/>
      <c r="AC354" s="713"/>
      <c r="AD354" s="713"/>
      <c r="AE354" s="713"/>
      <c r="AF354" s="713"/>
      <c r="AG354" s="713"/>
      <c r="AH354" s="713"/>
      <c r="AI354" s="713"/>
      <c r="AJ354" s="713"/>
      <c r="AK354" s="713"/>
      <c r="AL354" s="713"/>
      <c r="AM354" s="713"/>
      <c r="AN354" s="713"/>
      <c r="AO354" s="713"/>
      <c r="AP354" s="714"/>
      <c r="AQ354" s="715"/>
      <c r="AR354" s="707"/>
      <c r="AS354" s="707"/>
    </row>
    <row r="355" spans="1:45" s="711" customFormat="1" ht="12.75" customHeight="1" x14ac:dyDescent="0.25">
      <c r="A355" s="710"/>
      <c r="B355" s="8"/>
      <c r="C355" s="8"/>
      <c r="D355" s="8"/>
      <c r="E355" s="1411" t="s">
        <v>631</v>
      </c>
      <c r="F355" s="8"/>
      <c r="G355" s="8"/>
      <c r="H355" s="8"/>
      <c r="I355" s="8"/>
      <c r="J355" s="1409" t="s">
        <v>617</v>
      </c>
      <c r="K355" s="1409"/>
      <c r="L355" s="1409"/>
      <c r="M355" s="1409"/>
      <c r="N355" s="1967">
        <v>0</v>
      </c>
      <c r="O355" s="1968"/>
      <c r="P355" s="1969">
        <v>0</v>
      </c>
      <c r="Q355" s="1970"/>
      <c r="R355" s="8"/>
      <c r="S355" s="8"/>
      <c r="T355" s="8"/>
      <c r="U355" s="8"/>
      <c r="V355" s="713"/>
      <c r="W355" s="713"/>
      <c r="X355" s="713"/>
      <c r="Y355" s="713"/>
      <c r="Z355" s="713"/>
      <c r="AA355" s="713"/>
      <c r="AB355" s="713"/>
      <c r="AC355" s="713"/>
      <c r="AD355" s="713"/>
      <c r="AE355" s="713"/>
      <c r="AF355" s="713"/>
      <c r="AG355" s="713"/>
      <c r="AH355" s="713"/>
      <c r="AI355" s="713"/>
      <c r="AJ355" s="713"/>
      <c r="AK355" s="713"/>
      <c r="AL355" s="713"/>
      <c r="AM355" s="713"/>
      <c r="AN355" s="713"/>
      <c r="AO355" s="713"/>
      <c r="AP355" s="714"/>
      <c r="AQ355" s="715"/>
      <c r="AR355" s="707"/>
      <c r="AS355" s="707"/>
    </row>
    <row r="356" spans="1:45" s="711" customFormat="1" ht="12.75" customHeight="1" x14ac:dyDescent="0.25">
      <c r="A356" s="710"/>
      <c r="B356" s="11"/>
      <c r="C356" s="11"/>
      <c r="D356" s="11" t="s">
        <v>632</v>
      </c>
      <c r="E356" s="11"/>
      <c r="F356" s="11"/>
      <c r="G356" s="11"/>
      <c r="H356" s="11"/>
      <c r="I356" s="11"/>
      <c r="J356" s="1410" t="s">
        <v>617</v>
      </c>
      <c r="K356" s="1410"/>
      <c r="L356" s="1410"/>
      <c r="M356" s="1410"/>
      <c r="N356" s="1971">
        <v>0</v>
      </c>
      <c r="O356" s="1972"/>
      <c r="P356" s="1973">
        <v>0</v>
      </c>
      <c r="Q356" s="1974"/>
      <c r="R356" s="11"/>
      <c r="S356" s="11"/>
      <c r="T356" s="11"/>
      <c r="U356" s="11"/>
      <c r="V356" s="714"/>
      <c r="W356" s="714"/>
      <c r="X356" s="714"/>
      <c r="Y356" s="714"/>
      <c r="Z356" s="714"/>
      <c r="AA356" s="714"/>
      <c r="AB356" s="714"/>
      <c r="AC356" s="714"/>
      <c r="AD356" s="714"/>
      <c r="AE356" s="714"/>
      <c r="AF356" s="714"/>
      <c r="AG356" s="714"/>
      <c r="AH356" s="714"/>
      <c r="AI356" s="714"/>
      <c r="AJ356" s="714"/>
      <c r="AK356" s="714"/>
      <c r="AL356" s="714"/>
      <c r="AM356" s="714"/>
      <c r="AN356" s="714"/>
      <c r="AO356" s="714"/>
      <c r="AP356" s="714"/>
      <c r="AQ356" s="1412"/>
    </row>
    <row r="357" spans="1:45" s="711" customFormat="1" ht="12.75" customHeight="1" x14ac:dyDescent="0.25">
      <c r="A357" s="710"/>
      <c r="B357" s="8"/>
      <c r="C357" s="8"/>
      <c r="D357" s="8" t="s">
        <v>628</v>
      </c>
      <c r="E357" s="8"/>
      <c r="F357" s="8"/>
      <c r="G357" s="8"/>
      <c r="H357" s="8"/>
      <c r="I357" s="8"/>
      <c r="J357" s="1409" t="s">
        <v>16</v>
      </c>
      <c r="K357" s="1409"/>
      <c r="L357" s="1409"/>
      <c r="M357" s="1409"/>
      <c r="N357" s="1421"/>
      <c r="O357" s="1422"/>
      <c r="P357" s="2024">
        <v>0</v>
      </c>
      <c r="Q357" s="2025"/>
      <c r="R357" s="8"/>
      <c r="S357" s="8"/>
      <c r="T357" s="8"/>
      <c r="U357" s="8"/>
      <c r="V357" s="713"/>
      <c r="W357" s="713"/>
      <c r="X357" s="713"/>
      <c r="Y357" s="713"/>
      <c r="Z357" s="713"/>
      <c r="AA357" s="713"/>
      <c r="AB357" s="713"/>
      <c r="AC357" s="713"/>
      <c r="AD357" s="713"/>
      <c r="AE357" s="713"/>
      <c r="AF357" s="713"/>
      <c r="AG357" s="713"/>
      <c r="AH357" s="713"/>
      <c r="AI357" s="713"/>
      <c r="AJ357" s="713"/>
      <c r="AK357" s="713"/>
      <c r="AL357" s="713"/>
      <c r="AM357" s="713"/>
      <c r="AN357" s="713"/>
      <c r="AO357" s="713"/>
      <c r="AP357" s="714"/>
      <c r="AQ357" s="715"/>
      <c r="AR357" s="707"/>
      <c r="AS357" s="707"/>
    </row>
    <row r="358" spans="1:45" s="711" customFormat="1" ht="12.75" customHeight="1" x14ac:dyDescent="0.25">
      <c r="A358" s="710"/>
      <c r="B358" s="8"/>
      <c r="C358" s="8"/>
      <c r="D358" s="1634" t="s">
        <v>536</v>
      </c>
      <c r="E358" s="1634"/>
      <c r="F358" s="1634"/>
      <c r="G358" s="1634"/>
      <c r="H358" s="1634"/>
      <c r="I358" s="1634"/>
      <c r="J358" s="1127" t="s">
        <v>366</v>
      </c>
      <c r="K358" s="1127"/>
      <c r="L358" s="1127"/>
      <c r="M358" s="1127"/>
      <c r="N358" s="2020">
        <v>0</v>
      </c>
      <c r="O358" s="2021"/>
      <c r="P358" s="2022">
        <v>0</v>
      </c>
      <c r="Q358" s="2023"/>
      <c r="R358" s="8"/>
      <c r="S358" s="8"/>
      <c r="T358" s="8"/>
      <c r="U358" s="8"/>
      <c r="V358" s="713"/>
      <c r="W358" s="713"/>
      <c r="X358" s="713"/>
      <c r="Y358" s="713"/>
      <c r="Z358" s="713"/>
      <c r="AA358" s="713"/>
      <c r="AB358" s="713"/>
      <c r="AC358" s="713"/>
      <c r="AD358" s="713"/>
      <c r="AE358" s="713"/>
      <c r="AF358" s="713"/>
      <c r="AG358" s="713"/>
      <c r="AH358" s="713"/>
      <c r="AI358" s="713"/>
      <c r="AJ358" s="713"/>
      <c r="AK358" s="713"/>
      <c r="AL358" s="713"/>
      <c r="AM358" s="713"/>
      <c r="AN358" s="713"/>
      <c r="AO358" s="713"/>
      <c r="AP358" s="714"/>
      <c r="AQ358" s="715"/>
      <c r="AR358" s="707"/>
      <c r="AS358" s="707"/>
    </row>
    <row r="359" spans="1:45" s="711" customFormat="1" ht="12.75" customHeight="1" x14ac:dyDescent="0.25">
      <c r="A359" s="710"/>
      <c r="B359" s="707"/>
      <c r="C359" s="707"/>
      <c r="F359" s="712"/>
      <c r="G359" s="712"/>
      <c r="H359" s="712"/>
      <c r="I359" s="712"/>
      <c r="J359" s="713"/>
      <c r="K359" s="713"/>
      <c r="L359" s="713"/>
      <c r="M359" s="713"/>
      <c r="N359" s="713"/>
      <c r="O359" s="713"/>
      <c r="P359" s="713"/>
      <c r="Q359" s="713"/>
      <c r="R359" s="713"/>
      <c r="S359" s="713"/>
      <c r="T359" s="713"/>
      <c r="U359" s="713"/>
      <c r="V359" s="713"/>
      <c r="W359" s="713"/>
      <c r="X359" s="713"/>
      <c r="Y359" s="713"/>
      <c r="Z359" s="713"/>
      <c r="AA359" s="713"/>
      <c r="AB359" s="713"/>
      <c r="AC359" s="713"/>
      <c r="AD359" s="713"/>
      <c r="AE359" s="713"/>
      <c r="AF359" s="713"/>
      <c r="AG359" s="713"/>
      <c r="AH359" s="713"/>
      <c r="AI359" s="713"/>
      <c r="AJ359" s="713"/>
      <c r="AK359" s="713"/>
      <c r="AL359" s="713"/>
      <c r="AM359" s="713"/>
      <c r="AN359" s="713"/>
      <c r="AO359" s="713"/>
      <c r="AP359" s="714"/>
      <c r="AQ359" s="715"/>
      <c r="AR359" s="707"/>
      <c r="AS359" s="707"/>
    </row>
    <row r="360" spans="1:45" s="711" customFormat="1" ht="12.75" customHeight="1" x14ac:dyDescent="0.25">
      <c r="A360" s="710"/>
      <c r="B360" s="52" t="s">
        <v>593</v>
      </c>
      <c r="C360" s="21"/>
      <c r="D360" s="21"/>
      <c r="E360" s="21"/>
      <c r="F360" s="21"/>
      <c r="G360" s="21"/>
      <c r="H360" s="21"/>
      <c r="I360" s="21"/>
      <c r="J360" s="22"/>
      <c r="K360" s="22"/>
      <c r="L360" s="22"/>
      <c r="M360" s="22"/>
      <c r="N360" s="22"/>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714"/>
      <c r="AQ360" s="715"/>
      <c r="AR360" s="707"/>
      <c r="AS360" s="707"/>
    </row>
    <row r="361" spans="1:45" s="711" customFormat="1" ht="12.75" customHeight="1" x14ac:dyDescent="0.25">
      <c r="A361" s="710"/>
      <c r="B361" s="707"/>
      <c r="C361" s="707"/>
      <c r="F361" s="712"/>
      <c r="G361" s="712"/>
      <c r="H361" s="712"/>
      <c r="I361" s="712"/>
      <c r="J361" s="713"/>
      <c r="K361" s="713"/>
      <c r="L361" s="713"/>
      <c r="M361" s="713"/>
      <c r="N361" s="713"/>
      <c r="O361" s="713"/>
      <c r="P361" s="713"/>
      <c r="Q361" s="713"/>
      <c r="R361" s="713"/>
      <c r="S361" s="713"/>
      <c r="T361" s="713"/>
      <c r="U361" s="713"/>
      <c r="V361" s="713"/>
      <c r="W361" s="713"/>
      <c r="X361" s="713"/>
      <c r="Y361" s="713"/>
      <c r="Z361" s="713"/>
      <c r="AA361" s="713"/>
      <c r="AB361" s="713"/>
      <c r="AC361" s="713"/>
      <c r="AD361" s="713"/>
      <c r="AE361" s="713"/>
      <c r="AF361" s="713"/>
      <c r="AG361" s="713"/>
      <c r="AH361" s="713"/>
      <c r="AI361" s="713"/>
      <c r="AJ361" s="713"/>
      <c r="AK361" s="713"/>
      <c r="AL361" s="713"/>
      <c r="AM361" s="713"/>
      <c r="AN361" s="713"/>
      <c r="AO361" s="713"/>
      <c r="AP361" s="714"/>
      <c r="AQ361" s="715"/>
      <c r="AR361" s="707"/>
      <c r="AS361" s="707"/>
    </row>
    <row r="362" spans="1:45" s="711" customFormat="1" ht="12.75" customHeight="1" x14ac:dyDescent="0.25">
      <c r="A362" s="710"/>
      <c r="B362" s="707"/>
      <c r="C362" s="2029" t="s">
        <v>613</v>
      </c>
      <c r="D362" s="2030"/>
      <c r="E362" s="2030"/>
      <c r="F362" s="2030"/>
      <c r="G362" s="2030"/>
      <c r="H362" s="2030"/>
      <c r="I362" s="2030"/>
      <c r="J362" s="2030"/>
      <c r="K362" s="2030"/>
      <c r="L362" s="2030"/>
      <c r="M362" s="2030"/>
      <c r="N362" s="2030"/>
      <c r="O362" s="2030"/>
      <c r="P362" s="2030"/>
      <c r="Q362" s="2031"/>
      <c r="R362" s="713"/>
      <c r="S362" s="713"/>
      <c r="T362" s="713"/>
      <c r="U362" s="713"/>
      <c r="V362" s="713"/>
      <c r="W362" s="713"/>
      <c r="X362" s="713"/>
      <c r="Y362" s="713"/>
      <c r="Z362" s="713"/>
      <c r="AA362" s="713"/>
      <c r="AB362" s="713"/>
      <c r="AC362" s="713"/>
      <c r="AD362" s="713"/>
      <c r="AE362" s="713"/>
      <c r="AF362" s="713"/>
      <c r="AG362" s="713"/>
      <c r="AH362" s="713"/>
      <c r="AI362" s="713"/>
      <c r="AJ362" s="713"/>
      <c r="AK362" s="713"/>
      <c r="AL362" s="713"/>
      <c r="AM362" s="713"/>
      <c r="AN362" s="713"/>
      <c r="AO362" s="713"/>
      <c r="AP362" s="714"/>
      <c r="AQ362" s="715"/>
      <c r="AR362" s="707"/>
      <c r="AS362" s="707"/>
    </row>
    <row r="363" spans="1:45" s="711" customFormat="1" ht="12.75" customHeight="1" x14ac:dyDescent="0.25">
      <c r="A363" s="710"/>
      <c r="B363" s="707"/>
      <c r="C363" s="2032"/>
      <c r="D363" s="2033"/>
      <c r="E363" s="2033"/>
      <c r="F363" s="2033"/>
      <c r="G363" s="2033"/>
      <c r="H363" s="2033"/>
      <c r="I363" s="2033"/>
      <c r="J363" s="2033"/>
      <c r="K363" s="2033"/>
      <c r="L363" s="2033"/>
      <c r="M363" s="2033"/>
      <c r="N363" s="2033"/>
      <c r="O363" s="2033"/>
      <c r="P363" s="2033"/>
      <c r="Q363" s="2034"/>
      <c r="R363" s="713"/>
      <c r="S363" s="713"/>
      <c r="T363" s="713"/>
      <c r="U363" s="713"/>
      <c r="V363" s="713"/>
      <c r="W363" s="713"/>
      <c r="X363" s="713"/>
      <c r="Y363" s="713"/>
      <c r="Z363" s="713"/>
      <c r="AA363" s="713"/>
      <c r="AB363" s="713"/>
      <c r="AC363" s="713"/>
      <c r="AD363" s="713"/>
      <c r="AE363" s="713"/>
      <c r="AF363" s="713"/>
      <c r="AG363" s="713"/>
      <c r="AH363" s="713"/>
      <c r="AI363" s="713"/>
      <c r="AJ363" s="713"/>
      <c r="AK363" s="713"/>
      <c r="AL363" s="713"/>
      <c r="AM363" s="713"/>
      <c r="AN363" s="713"/>
      <c r="AO363" s="713"/>
      <c r="AP363" s="714"/>
      <c r="AQ363" s="715"/>
      <c r="AR363" s="707"/>
      <c r="AS363" s="707"/>
    </row>
    <row r="364" spans="1:45" s="711" customFormat="1" ht="12.75" customHeight="1" x14ac:dyDescent="0.25">
      <c r="A364" s="710"/>
      <c r="B364" s="707"/>
      <c r="C364" s="2032"/>
      <c r="D364" s="2033"/>
      <c r="E364" s="2033"/>
      <c r="F364" s="2033"/>
      <c r="G364" s="2033"/>
      <c r="H364" s="2033"/>
      <c r="I364" s="2033"/>
      <c r="J364" s="2033"/>
      <c r="K364" s="2033"/>
      <c r="L364" s="2033"/>
      <c r="M364" s="2033"/>
      <c r="N364" s="2033"/>
      <c r="O364" s="2033"/>
      <c r="P364" s="2033"/>
      <c r="Q364" s="2034"/>
      <c r="R364" s="713"/>
      <c r="S364" s="713"/>
      <c r="T364" s="713"/>
      <c r="U364" s="713"/>
      <c r="V364" s="713"/>
      <c r="W364" s="713"/>
      <c r="X364" s="713"/>
      <c r="Y364" s="713"/>
      <c r="Z364" s="713"/>
      <c r="AA364" s="713"/>
      <c r="AB364" s="713"/>
      <c r="AC364" s="713"/>
      <c r="AD364" s="713"/>
      <c r="AE364" s="713"/>
      <c r="AF364" s="713"/>
      <c r="AG364" s="713"/>
      <c r="AH364" s="713"/>
      <c r="AI364" s="713"/>
      <c r="AJ364" s="713"/>
      <c r="AK364" s="713"/>
      <c r="AL364" s="713"/>
      <c r="AM364" s="713"/>
      <c r="AN364" s="713"/>
      <c r="AO364" s="713"/>
      <c r="AP364" s="714"/>
      <c r="AQ364" s="715"/>
      <c r="AR364" s="707"/>
      <c r="AS364" s="707"/>
    </row>
    <row r="365" spans="1:45" s="711" customFormat="1" ht="12.75" customHeight="1" x14ac:dyDescent="0.25">
      <c r="A365" s="710"/>
      <c r="B365" s="707"/>
      <c r="C365" s="2032"/>
      <c r="D365" s="2033"/>
      <c r="E365" s="2033"/>
      <c r="F365" s="2033"/>
      <c r="G365" s="2033"/>
      <c r="H365" s="2033"/>
      <c r="I365" s="2033"/>
      <c r="J365" s="2033"/>
      <c r="K365" s="2033"/>
      <c r="L365" s="2033"/>
      <c r="M365" s="2033"/>
      <c r="N365" s="2033"/>
      <c r="O365" s="2033"/>
      <c r="P365" s="2033"/>
      <c r="Q365" s="2034"/>
      <c r="R365" s="713"/>
      <c r="S365" s="713"/>
      <c r="T365" s="713"/>
      <c r="U365" s="713"/>
      <c r="V365" s="713"/>
      <c r="W365" s="713"/>
      <c r="X365" s="713"/>
      <c r="Y365" s="713"/>
      <c r="Z365" s="713"/>
      <c r="AA365" s="713"/>
      <c r="AB365" s="713"/>
      <c r="AC365" s="713"/>
      <c r="AD365" s="713"/>
      <c r="AE365" s="713"/>
      <c r="AF365" s="713"/>
      <c r="AG365" s="713"/>
      <c r="AH365" s="713"/>
      <c r="AI365" s="713"/>
      <c r="AJ365" s="713"/>
      <c r="AK365" s="713"/>
      <c r="AL365" s="713"/>
      <c r="AM365" s="713"/>
      <c r="AN365" s="713"/>
      <c r="AO365" s="713"/>
      <c r="AP365" s="714"/>
      <c r="AQ365" s="715"/>
      <c r="AR365" s="707"/>
      <c r="AS365" s="707"/>
    </row>
    <row r="366" spans="1:45" s="711" customFormat="1" ht="12.75" customHeight="1" x14ac:dyDescent="0.25">
      <c r="A366" s="710"/>
      <c r="B366" s="707"/>
      <c r="C366" s="2032"/>
      <c r="D366" s="2033"/>
      <c r="E366" s="2033"/>
      <c r="F366" s="2033"/>
      <c r="G366" s="2033"/>
      <c r="H366" s="2033"/>
      <c r="I366" s="2033"/>
      <c r="J366" s="2033"/>
      <c r="K366" s="2033"/>
      <c r="L366" s="2033"/>
      <c r="M366" s="2033"/>
      <c r="N366" s="2033"/>
      <c r="O366" s="2033"/>
      <c r="P366" s="2033"/>
      <c r="Q366" s="2034"/>
      <c r="R366" s="713"/>
      <c r="S366" s="713"/>
      <c r="T366" s="713"/>
      <c r="U366" s="713"/>
      <c r="V366" s="713"/>
      <c r="W366" s="713"/>
      <c r="X366" s="713"/>
      <c r="Y366" s="713"/>
      <c r="Z366" s="713"/>
      <c r="AA366" s="713"/>
      <c r="AB366" s="713"/>
      <c r="AC366" s="713"/>
      <c r="AD366" s="713"/>
      <c r="AE366" s="713"/>
      <c r="AF366" s="713"/>
      <c r="AG366" s="713"/>
      <c r="AH366" s="713"/>
      <c r="AI366" s="713"/>
      <c r="AJ366" s="713"/>
      <c r="AK366" s="713"/>
      <c r="AL366" s="713"/>
      <c r="AM366" s="713"/>
      <c r="AN366" s="713"/>
      <c r="AO366" s="713"/>
      <c r="AP366" s="714"/>
      <c r="AQ366" s="715"/>
      <c r="AR366" s="707"/>
      <c r="AS366" s="707"/>
    </row>
    <row r="367" spans="1:45" s="711" customFormat="1" ht="12.75" customHeight="1" x14ac:dyDescent="0.25">
      <c r="A367" s="710"/>
      <c r="B367" s="707"/>
      <c r="C367" s="2032"/>
      <c r="D367" s="2033"/>
      <c r="E367" s="2033"/>
      <c r="F367" s="2033"/>
      <c r="G367" s="2033"/>
      <c r="H367" s="2033"/>
      <c r="I367" s="2033"/>
      <c r="J367" s="2033"/>
      <c r="K367" s="2033"/>
      <c r="L367" s="2033"/>
      <c r="M367" s="2033"/>
      <c r="N367" s="2033"/>
      <c r="O367" s="2033"/>
      <c r="P367" s="2033"/>
      <c r="Q367" s="2034"/>
      <c r="R367" s="713"/>
      <c r="S367" s="713"/>
      <c r="T367" s="713"/>
      <c r="U367" s="713"/>
      <c r="V367" s="713"/>
      <c r="W367" s="713"/>
      <c r="X367" s="713"/>
      <c r="Y367" s="713"/>
      <c r="Z367" s="713"/>
      <c r="AA367" s="713"/>
      <c r="AB367" s="713"/>
      <c r="AC367" s="713"/>
      <c r="AD367" s="713"/>
      <c r="AE367" s="713"/>
      <c r="AF367" s="713"/>
      <c r="AG367" s="713"/>
      <c r="AH367" s="713"/>
      <c r="AI367" s="713"/>
      <c r="AJ367" s="713"/>
      <c r="AK367" s="713"/>
      <c r="AL367" s="713"/>
      <c r="AM367" s="713"/>
      <c r="AN367" s="713"/>
      <c r="AO367" s="713"/>
      <c r="AP367" s="714"/>
      <c r="AQ367" s="715"/>
      <c r="AR367" s="707"/>
      <c r="AS367" s="707"/>
    </row>
    <row r="368" spans="1:45" s="711" customFormat="1" ht="12.75" customHeight="1" x14ac:dyDescent="0.25">
      <c r="A368" s="710"/>
      <c r="B368" s="707"/>
      <c r="C368" s="2035"/>
      <c r="D368" s="2036"/>
      <c r="E368" s="2036"/>
      <c r="F368" s="2036"/>
      <c r="G368" s="2036"/>
      <c r="H368" s="2036"/>
      <c r="I368" s="2036"/>
      <c r="J368" s="2036"/>
      <c r="K368" s="2036"/>
      <c r="L368" s="2036"/>
      <c r="M368" s="2036"/>
      <c r="N368" s="2036"/>
      <c r="O368" s="2036"/>
      <c r="P368" s="2036"/>
      <c r="Q368" s="2037"/>
      <c r="R368" s="713"/>
      <c r="S368" s="713"/>
      <c r="T368" s="713"/>
      <c r="U368" s="713"/>
      <c r="V368" s="713"/>
      <c r="W368" s="713"/>
      <c r="X368" s="713"/>
      <c r="Y368" s="713"/>
      <c r="Z368" s="713"/>
      <c r="AA368" s="713"/>
      <c r="AB368" s="713"/>
      <c r="AC368" s="713"/>
      <c r="AD368" s="713"/>
      <c r="AE368" s="713"/>
      <c r="AF368" s="713"/>
      <c r="AG368" s="713"/>
      <c r="AH368" s="713"/>
      <c r="AI368" s="713"/>
      <c r="AJ368" s="713"/>
      <c r="AK368" s="713"/>
      <c r="AL368" s="713"/>
      <c r="AM368" s="713"/>
      <c r="AN368" s="713"/>
      <c r="AO368" s="713"/>
      <c r="AP368" s="714"/>
      <c r="AQ368" s="715"/>
      <c r="AR368" s="707"/>
      <c r="AS368" s="707"/>
    </row>
    <row r="369" spans="1:45" s="711" customFormat="1" ht="12.75" customHeight="1" x14ac:dyDescent="0.25">
      <c r="A369" s="710"/>
      <c r="B369" s="707"/>
      <c r="C369" s="707"/>
      <c r="F369" s="712"/>
      <c r="G369" s="712"/>
      <c r="H369" s="712"/>
      <c r="I369" s="712"/>
      <c r="J369" s="713"/>
      <c r="K369" s="713"/>
      <c r="L369" s="713"/>
      <c r="M369" s="713"/>
      <c r="N369" s="713"/>
      <c r="O369" s="713"/>
      <c r="P369" s="713"/>
      <c r="Q369" s="713"/>
      <c r="R369" s="713"/>
      <c r="S369" s="713"/>
      <c r="T369" s="713"/>
      <c r="U369" s="713"/>
      <c r="V369" s="713"/>
      <c r="W369" s="713"/>
      <c r="X369" s="713"/>
      <c r="Y369" s="713"/>
      <c r="Z369" s="713"/>
      <c r="AA369" s="713"/>
      <c r="AB369" s="713"/>
      <c r="AC369" s="713"/>
      <c r="AD369" s="713"/>
      <c r="AE369" s="713"/>
      <c r="AF369" s="713"/>
      <c r="AG369" s="713"/>
      <c r="AH369" s="713"/>
      <c r="AI369" s="713"/>
      <c r="AJ369" s="713"/>
      <c r="AK369" s="713"/>
      <c r="AL369" s="713"/>
      <c r="AM369" s="713"/>
      <c r="AN369" s="713"/>
      <c r="AO369" s="713"/>
      <c r="AP369" s="714"/>
      <c r="AQ369" s="715"/>
      <c r="AR369" s="707"/>
      <c r="AS369" s="707"/>
    </row>
    <row r="370" spans="1:45" s="711" customFormat="1" ht="12.75" customHeight="1" x14ac:dyDescent="0.25">
      <c r="A370" s="44" t="s">
        <v>580</v>
      </c>
      <c r="B370" s="44"/>
      <c r="C370" s="44"/>
      <c r="D370" s="44"/>
      <c r="E370" s="44"/>
      <c r="F370" s="44"/>
      <c r="G370" s="44"/>
      <c r="H370" s="44"/>
      <c r="I370" s="44"/>
      <c r="J370" s="45"/>
      <c r="K370" s="45"/>
      <c r="L370" s="45"/>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714"/>
      <c r="AQ370" s="715"/>
      <c r="AR370" s="707"/>
      <c r="AS370" s="707"/>
    </row>
    <row r="371" spans="1:45" s="711" customFormat="1" ht="12.75" customHeight="1" x14ac:dyDescent="0.25">
      <c r="A371" s="710"/>
      <c r="B371" s="707"/>
      <c r="C371" s="707"/>
      <c r="F371" s="712"/>
      <c r="G371" s="712"/>
      <c r="H371" s="712"/>
      <c r="I371" s="712"/>
      <c r="J371" s="713"/>
      <c r="K371" s="713"/>
      <c r="L371" s="713"/>
      <c r="M371" s="713"/>
      <c r="N371" s="713"/>
      <c r="O371" s="713"/>
      <c r="P371" s="713"/>
      <c r="Q371" s="713"/>
      <c r="R371" s="713"/>
      <c r="S371" s="713"/>
      <c r="T371" s="713"/>
      <c r="U371" s="713"/>
      <c r="V371" s="713"/>
      <c r="W371" s="713"/>
      <c r="X371" s="713"/>
      <c r="Y371" s="713"/>
      <c r="Z371" s="713"/>
      <c r="AA371" s="713"/>
      <c r="AB371" s="713"/>
      <c r="AC371" s="713"/>
      <c r="AD371" s="713"/>
      <c r="AE371" s="713"/>
      <c r="AF371" s="713"/>
      <c r="AG371" s="713"/>
      <c r="AH371" s="713"/>
      <c r="AI371" s="713"/>
      <c r="AJ371" s="713"/>
      <c r="AK371" s="713"/>
      <c r="AL371" s="713"/>
      <c r="AM371" s="713"/>
      <c r="AN371" s="713"/>
      <c r="AO371" s="713"/>
      <c r="AP371" s="714"/>
      <c r="AQ371" s="715"/>
      <c r="AR371" s="707"/>
      <c r="AS371" s="707"/>
    </row>
    <row r="372" spans="1:45" s="711" customFormat="1" ht="12.75" customHeight="1" x14ac:dyDescent="0.25">
      <c r="A372" s="710"/>
      <c r="B372" s="55" t="s">
        <v>518</v>
      </c>
      <c r="C372" s="55"/>
      <c r="D372" s="81"/>
      <c r="E372" s="81"/>
      <c r="F372" s="81"/>
      <c r="G372" s="81"/>
      <c r="H372" s="81"/>
      <c r="I372" s="81"/>
      <c r="J372" s="81"/>
      <c r="K372" s="81"/>
      <c r="L372" s="81"/>
      <c r="M372" s="81"/>
      <c r="N372" s="81"/>
      <c r="O372" s="55"/>
      <c r="P372" s="55"/>
      <c r="Q372" s="55"/>
      <c r="R372" s="788"/>
      <c r="S372" s="788"/>
      <c r="T372" s="788"/>
      <c r="U372" s="788"/>
      <c r="V372" s="788"/>
      <c r="W372" s="788"/>
      <c r="X372" s="788"/>
      <c r="Y372" s="788"/>
      <c r="Z372" s="788"/>
      <c r="AA372" s="788"/>
      <c r="AB372" s="788"/>
      <c r="AC372" s="788"/>
      <c r="AD372" s="788"/>
      <c r="AE372" s="788"/>
      <c r="AF372" s="788"/>
      <c r="AG372" s="788"/>
      <c r="AH372" s="788"/>
      <c r="AI372" s="788"/>
      <c r="AJ372" s="788"/>
      <c r="AK372" s="788"/>
      <c r="AL372" s="788"/>
      <c r="AM372" s="788"/>
      <c r="AN372" s="788"/>
      <c r="AO372" s="788"/>
      <c r="AP372" s="714"/>
      <c r="AQ372" s="715"/>
      <c r="AR372" s="707"/>
      <c r="AS372" s="707"/>
    </row>
    <row r="373" spans="1:45" s="711" customFormat="1" ht="12.75" customHeight="1" x14ac:dyDescent="0.25">
      <c r="A373" s="710"/>
      <c r="B373" s="707"/>
      <c r="C373" s="707"/>
      <c r="F373" s="712"/>
      <c r="G373" s="712"/>
      <c r="H373" s="712"/>
      <c r="I373" s="712"/>
      <c r="J373" s="713"/>
      <c r="K373" s="713"/>
      <c r="L373" s="713"/>
      <c r="M373" s="713"/>
      <c r="N373" s="713"/>
      <c r="O373" s="713"/>
      <c r="P373" s="713"/>
      <c r="Q373" s="713"/>
      <c r="R373" s="713"/>
      <c r="S373" s="713"/>
      <c r="T373" s="713"/>
      <c r="U373" s="713"/>
      <c r="V373" s="713"/>
      <c r="W373" s="713"/>
      <c r="X373" s="713"/>
      <c r="Y373" s="713"/>
      <c r="Z373" s="713"/>
      <c r="AA373" s="713"/>
      <c r="AB373" s="713"/>
      <c r="AC373" s="713"/>
      <c r="AD373" s="713"/>
      <c r="AE373" s="713"/>
      <c r="AF373" s="713"/>
      <c r="AG373" s="713"/>
      <c r="AH373" s="713"/>
      <c r="AI373" s="713"/>
      <c r="AJ373" s="713"/>
      <c r="AK373" s="713"/>
      <c r="AL373" s="713"/>
      <c r="AM373" s="713"/>
      <c r="AN373" s="713"/>
      <c r="AO373" s="713"/>
      <c r="AP373" s="714"/>
      <c r="AQ373" s="715"/>
      <c r="AR373" s="707"/>
      <c r="AS373" s="707"/>
    </row>
    <row r="374" spans="1:45" s="711" customFormat="1" ht="12.75" customHeight="1" x14ac:dyDescent="0.3">
      <c r="A374" s="710"/>
      <c r="B374" s="707"/>
      <c r="C374" s="707" t="s">
        <v>582</v>
      </c>
      <c r="F374" s="712"/>
      <c r="G374" s="712"/>
      <c r="I374" s="712"/>
      <c r="J374" s="713"/>
      <c r="K374" s="713"/>
      <c r="L374" s="713"/>
      <c r="M374" s="713"/>
      <c r="N374" s="713"/>
      <c r="O374" s="2005" t="s">
        <v>586</v>
      </c>
      <c r="P374" s="2006"/>
      <c r="Q374" s="713"/>
      <c r="R374" s="713"/>
      <c r="S374" s="713"/>
      <c r="T374" s="713"/>
      <c r="U374" s="713"/>
      <c r="V374" s="713"/>
      <c r="W374" s="713"/>
      <c r="X374" s="713"/>
      <c r="Y374" s="713"/>
      <c r="Z374" s="713"/>
      <c r="AA374" s="713"/>
      <c r="AB374" s="713"/>
      <c r="AC374" s="713"/>
      <c r="AD374" s="713"/>
      <c r="AE374" s="713"/>
      <c r="AF374" s="713"/>
      <c r="AG374" s="713"/>
      <c r="AH374" s="713"/>
      <c r="AI374" s="713"/>
      <c r="AJ374" s="713"/>
      <c r="AK374" s="713"/>
      <c r="AL374" s="713"/>
      <c r="AM374" s="713"/>
      <c r="AN374" s="713"/>
      <c r="AO374" s="713"/>
      <c r="AP374" s="714"/>
      <c r="AQ374" s="715"/>
      <c r="AR374" s="707"/>
      <c r="AS374" s="707"/>
    </row>
    <row r="375" spans="1:45" s="711" customFormat="1" ht="12.75" customHeight="1" x14ac:dyDescent="0.25">
      <c r="A375" s="710"/>
      <c r="B375" s="707"/>
      <c r="C375" s="707"/>
      <c r="D375" s="707" t="s">
        <v>517</v>
      </c>
      <c r="F375" s="712"/>
      <c r="G375" s="712"/>
      <c r="I375" s="712"/>
      <c r="J375" s="68"/>
      <c r="K375" s="68"/>
      <c r="L375" s="68"/>
      <c r="M375" s="713"/>
      <c r="N375" s="713"/>
      <c r="O375" s="2007" t="s">
        <v>581</v>
      </c>
      <c r="P375" s="2008" t="s">
        <v>512</v>
      </c>
      <c r="Q375" s="713"/>
      <c r="R375" s="713"/>
      <c r="S375" s="713"/>
      <c r="T375" s="713"/>
      <c r="U375" s="713"/>
      <c r="V375" s="713"/>
      <c r="W375" s="713"/>
      <c r="X375" s="713"/>
      <c r="Y375" s="713"/>
      <c r="Z375" s="713"/>
      <c r="AA375" s="713"/>
      <c r="AB375" s="713"/>
      <c r="AC375" s="713"/>
      <c r="AD375" s="713"/>
      <c r="AE375" s="713"/>
      <c r="AF375" s="713"/>
      <c r="AG375" s="713"/>
      <c r="AH375" s="713"/>
      <c r="AI375" s="713"/>
      <c r="AJ375" s="713"/>
      <c r="AK375" s="713"/>
      <c r="AL375" s="713"/>
      <c r="AM375" s="713"/>
      <c r="AN375" s="713"/>
      <c r="AO375" s="713"/>
      <c r="AP375" s="714"/>
      <c r="AQ375" s="715"/>
      <c r="AR375" s="707"/>
      <c r="AS375" s="707"/>
    </row>
    <row r="376" spans="1:45" s="711" customFormat="1" ht="12.75" customHeight="1" x14ac:dyDescent="0.25">
      <c r="A376" s="710"/>
      <c r="B376" s="707"/>
      <c r="C376" s="707"/>
      <c r="D376" s="707" t="s">
        <v>546</v>
      </c>
      <c r="F376" s="712"/>
      <c r="G376" s="712"/>
      <c r="H376" s="712"/>
      <c r="I376" s="712"/>
      <c r="J376" s="713"/>
      <c r="K376" s="713"/>
      <c r="L376" s="713"/>
      <c r="M376" s="713"/>
      <c r="N376" s="713"/>
      <c r="O376" s="1975" t="s">
        <v>508</v>
      </c>
      <c r="P376" s="1976" t="s">
        <v>513</v>
      </c>
      <c r="Q376" s="713"/>
      <c r="R376" s="713"/>
      <c r="S376" s="713"/>
      <c r="T376" s="713"/>
      <c r="U376" s="713"/>
      <c r="V376" s="713"/>
      <c r="W376" s="713"/>
      <c r="X376" s="713"/>
      <c r="Y376" s="713"/>
      <c r="Z376" s="713"/>
      <c r="AA376" s="713"/>
      <c r="AB376" s="713"/>
      <c r="AC376" s="713"/>
      <c r="AD376" s="713"/>
      <c r="AE376" s="713"/>
      <c r="AF376" s="713"/>
      <c r="AG376" s="713"/>
      <c r="AH376" s="713"/>
      <c r="AI376" s="713"/>
      <c r="AJ376" s="713"/>
      <c r="AK376" s="713"/>
      <c r="AL376" s="713"/>
      <c r="AM376" s="713"/>
      <c r="AN376" s="713"/>
      <c r="AO376" s="713"/>
      <c r="AP376" s="714"/>
      <c r="AQ376" s="715"/>
      <c r="AR376" s="707"/>
      <c r="AS376" s="707"/>
    </row>
    <row r="377" spans="1:45" s="711" customFormat="1" ht="12.75" customHeight="1" x14ac:dyDescent="0.25">
      <c r="A377" s="710"/>
      <c r="B377" s="707"/>
      <c r="C377" s="707"/>
      <c r="F377" s="712"/>
      <c r="G377" s="712"/>
      <c r="H377" s="712"/>
      <c r="I377" s="712"/>
      <c r="J377" s="713"/>
      <c r="K377" s="713"/>
      <c r="L377" s="713"/>
      <c r="M377" s="713"/>
      <c r="N377" s="713"/>
      <c r="O377" s="713"/>
      <c r="P377" s="713"/>
      <c r="Q377" s="713"/>
      <c r="R377" s="713"/>
      <c r="S377" s="713"/>
      <c r="T377" s="713"/>
      <c r="U377" s="713"/>
      <c r="V377" s="713"/>
      <c r="W377" s="713"/>
      <c r="X377" s="713"/>
      <c r="Y377" s="713"/>
      <c r="Z377" s="713"/>
      <c r="AA377" s="713"/>
      <c r="AB377" s="713"/>
      <c r="AC377" s="713"/>
      <c r="AD377" s="713"/>
      <c r="AE377" s="713"/>
      <c r="AF377" s="713"/>
      <c r="AG377" s="713"/>
      <c r="AH377" s="713"/>
      <c r="AI377" s="713"/>
      <c r="AJ377" s="713"/>
      <c r="AK377" s="713"/>
      <c r="AL377" s="713"/>
      <c r="AM377" s="713"/>
      <c r="AN377" s="713"/>
      <c r="AO377" s="713"/>
      <c r="AP377" s="714"/>
      <c r="AQ377" s="715"/>
      <c r="AR377" s="707"/>
      <c r="AS377" s="707"/>
    </row>
    <row r="378" spans="1:45" s="711" customFormat="1" ht="12.75" customHeight="1" x14ac:dyDescent="0.25">
      <c r="A378" s="710"/>
      <c r="B378" s="52" t="s">
        <v>592</v>
      </c>
      <c r="C378" s="21"/>
      <c r="D378" s="21"/>
      <c r="E378" s="21"/>
      <c r="F378" s="21"/>
      <c r="G378" s="21"/>
      <c r="H378" s="21"/>
      <c r="I378" s="21"/>
      <c r="J378" s="22"/>
      <c r="K378" s="22"/>
      <c r="L378" s="22"/>
      <c r="M378" s="22"/>
      <c r="N378" s="22"/>
      <c r="O378" s="21"/>
      <c r="P378" s="21"/>
      <c r="Q378" s="21"/>
      <c r="R378" s="21"/>
      <c r="S378" s="21"/>
      <c r="T378" s="21"/>
      <c r="U378" s="21"/>
      <c r="V378" s="713"/>
      <c r="W378" s="713"/>
      <c r="X378" s="713"/>
      <c r="Y378" s="713"/>
      <c r="Z378" s="713"/>
      <c r="AA378" s="713"/>
      <c r="AB378" s="713"/>
      <c r="AC378" s="713"/>
      <c r="AD378" s="713"/>
      <c r="AE378" s="713"/>
      <c r="AF378" s="713"/>
      <c r="AG378" s="713"/>
      <c r="AH378" s="713"/>
      <c r="AI378" s="713"/>
      <c r="AJ378" s="713"/>
      <c r="AK378" s="713"/>
      <c r="AL378" s="713"/>
      <c r="AM378" s="713"/>
      <c r="AN378" s="713"/>
      <c r="AO378" s="713"/>
      <c r="AP378" s="714"/>
      <c r="AQ378" s="715"/>
      <c r="AR378" s="707"/>
      <c r="AS378" s="707"/>
    </row>
    <row r="379" spans="1:45" s="711" customFormat="1" ht="12.75" customHeight="1" x14ac:dyDescent="0.25">
      <c r="A379" s="710"/>
      <c r="B379" s="8"/>
      <c r="C379" s="8"/>
      <c r="D379" s="8"/>
      <c r="E379" s="8"/>
      <c r="F379" s="8"/>
      <c r="G379" s="8"/>
      <c r="H379" s="8"/>
      <c r="I379" s="11"/>
      <c r="J379" s="1128"/>
      <c r="K379" s="1128"/>
      <c r="L379" s="1128"/>
      <c r="M379" s="1128"/>
      <c r="N379" s="1128"/>
      <c r="O379" s="1128"/>
      <c r="P379" s="40"/>
      <c r="Q379" s="8"/>
      <c r="R379" s="8"/>
      <c r="S379" s="8"/>
      <c r="T379" s="8"/>
      <c r="U379" s="8"/>
      <c r="V379" s="713"/>
      <c r="W379" s="713"/>
      <c r="X379" s="713"/>
      <c r="Y379" s="713"/>
      <c r="Z379" s="713"/>
      <c r="AA379" s="713"/>
      <c r="AB379" s="713"/>
      <c r="AC379" s="713"/>
      <c r="AD379" s="713"/>
      <c r="AE379" s="713"/>
      <c r="AF379" s="713"/>
      <c r="AG379" s="713"/>
      <c r="AH379" s="713"/>
      <c r="AI379" s="713"/>
      <c r="AJ379" s="713"/>
      <c r="AK379" s="713"/>
      <c r="AL379" s="713"/>
      <c r="AM379" s="713"/>
      <c r="AN379" s="713"/>
      <c r="AO379" s="713"/>
      <c r="AP379" s="714"/>
      <c r="AQ379" s="715"/>
      <c r="AR379" s="707"/>
      <c r="AS379" s="707"/>
    </row>
    <row r="380" spans="1:45" s="711" customFormat="1" ht="12.75" customHeight="1" x14ac:dyDescent="0.25">
      <c r="A380" s="710"/>
      <c r="B380" s="8"/>
      <c r="C380" s="8"/>
      <c r="D380" s="8"/>
      <c r="E380" s="8"/>
      <c r="F380" s="8"/>
      <c r="G380" s="8"/>
      <c r="H380" s="8"/>
      <c r="I380" s="11"/>
      <c r="J380" s="1128"/>
      <c r="K380" s="1128"/>
      <c r="L380" s="1128"/>
      <c r="M380" s="1128"/>
      <c r="N380" s="1128"/>
      <c r="O380" s="1128"/>
      <c r="P380" s="40"/>
      <c r="Q380" s="8"/>
      <c r="R380" s="8"/>
      <c r="S380" s="8"/>
      <c r="T380" s="8"/>
      <c r="U380" s="8"/>
      <c r="V380" s="713"/>
      <c r="W380" s="713"/>
      <c r="X380" s="713"/>
      <c r="Y380" s="713"/>
      <c r="Z380" s="713"/>
      <c r="AA380" s="713"/>
      <c r="AB380" s="713"/>
      <c r="AC380" s="713"/>
      <c r="AD380" s="713"/>
      <c r="AE380" s="713"/>
      <c r="AF380" s="713"/>
      <c r="AG380" s="713"/>
      <c r="AH380" s="713"/>
      <c r="AI380" s="713"/>
      <c r="AJ380" s="713"/>
      <c r="AK380" s="713"/>
      <c r="AL380" s="713"/>
      <c r="AM380" s="713"/>
      <c r="AN380" s="713"/>
      <c r="AO380" s="713"/>
      <c r="AP380" s="714"/>
      <c r="AQ380" s="715"/>
      <c r="AR380" s="707"/>
      <c r="AS380" s="707"/>
    </row>
    <row r="381" spans="1:45" s="707" customFormat="1" ht="12.75" customHeight="1" x14ac:dyDescent="0.25">
      <c r="A381" s="8"/>
      <c r="B381" s="8"/>
      <c r="C381" s="8"/>
      <c r="D381" s="8"/>
      <c r="E381" s="8"/>
      <c r="F381" s="8"/>
      <c r="G381" s="8"/>
      <c r="H381" s="8"/>
      <c r="I381" s="11"/>
      <c r="J381" s="1128"/>
      <c r="K381" s="1128"/>
      <c r="L381" s="1743" t="s">
        <v>200</v>
      </c>
      <c r="M381" s="1744"/>
      <c r="N381" s="1744"/>
      <c r="O381" s="1745"/>
      <c r="P381" s="1788" t="s">
        <v>201</v>
      </c>
      <c r="Q381" s="1789"/>
      <c r="R381" s="1789"/>
      <c r="S381" s="1790"/>
      <c r="T381" s="8"/>
      <c r="U381" s="8"/>
      <c r="V381" s="713"/>
      <c r="W381" s="713"/>
      <c r="X381" s="713"/>
      <c r="Y381" s="713"/>
      <c r="Z381" s="713"/>
      <c r="AA381" s="713"/>
      <c r="AB381" s="713"/>
      <c r="AC381" s="713"/>
      <c r="AD381" s="713"/>
      <c r="AE381" s="713"/>
      <c r="AF381" s="713"/>
      <c r="AG381" s="713"/>
      <c r="AH381" s="713"/>
      <c r="AI381" s="713"/>
      <c r="AJ381" s="713"/>
      <c r="AK381" s="713"/>
      <c r="AL381" s="713"/>
      <c r="AM381" s="713"/>
      <c r="AN381" s="713"/>
      <c r="AO381" s="713"/>
      <c r="AP381" s="713"/>
      <c r="AQ381" s="715"/>
    </row>
    <row r="382" spans="1:45" s="707" customFormat="1" ht="12.75" customHeight="1" x14ac:dyDescent="0.25">
      <c r="A382" s="8"/>
      <c r="B382" s="8"/>
      <c r="C382" s="8"/>
      <c r="D382" s="8"/>
      <c r="E382" s="8"/>
      <c r="F382" s="8"/>
      <c r="G382" s="8"/>
      <c r="H382" s="8"/>
      <c r="I382" s="11"/>
      <c r="J382" s="1128"/>
      <c r="K382" s="1128"/>
      <c r="L382" s="1785" t="s">
        <v>229</v>
      </c>
      <c r="M382" s="1786"/>
      <c r="N382" s="1786"/>
      <c r="O382" s="1787"/>
      <c r="P382" s="1667" t="s">
        <v>229</v>
      </c>
      <c r="Q382" s="1668"/>
      <c r="R382" s="1668"/>
      <c r="S382" s="1669"/>
      <c r="T382" s="8"/>
      <c r="U382" s="8"/>
      <c r="V382" s="713"/>
      <c r="W382" s="713"/>
      <c r="X382" s="713"/>
      <c r="Y382" s="713"/>
      <c r="Z382" s="713"/>
      <c r="AA382" s="713"/>
      <c r="AB382" s="713"/>
      <c r="AC382" s="713"/>
      <c r="AD382" s="713"/>
      <c r="AE382" s="713"/>
      <c r="AF382" s="713"/>
      <c r="AG382" s="713"/>
      <c r="AH382" s="713"/>
      <c r="AI382" s="713"/>
      <c r="AJ382" s="713"/>
      <c r="AK382" s="713"/>
      <c r="AL382" s="713"/>
      <c r="AM382" s="713"/>
      <c r="AN382" s="713"/>
      <c r="AO382" s="713"/>
      <c r="AP382" s="713"/>
      <c r="AQ382" s="715"/>
    </row>
    <row r="383" spans="1:45" s="707" customFormat="1" ht="38.700000000000003" customHeight="1" x14ac:dyDescent="0.25">
      <c r="A383" s="8"/>
      <c r="B383" s="8"/>
      <c r="C383" s="1130" t="s">
        <v>78</v>
      </c>
      <c r="D383" s="840"/>
      <c r="E383" s="840"/>
      <c r="F383" s="840"/>
      <c r="G383" s="840"/>
      <c r="H383" s="840"/>
      <c r="I383" s="840"/>
      <c r="J383" s="840"/>
      <c r="K383" s="840"/>
      <c r="L383" s="1131" t="s">
        <v>227</v>
      </c>
      <c r="M383" s="1131" t="s">
        <v>218</v>
      </c>
      <c r="N383" s="1132" t="s">
        <v>226</v>
      </c>
      <c r="O383" s="1133" t="s">
        <v>225</v>
      </c>
      <c r="P383" s="1134" t="s">
        <v>227</v>
      </c>
      <c r="Q383" s="1134" t="s">
        <v>218</v>
      </c>
      <c r="R383" s="1135" t="s">
        <v>226</v>
      </c>
      <c r="S383" s="1136" t="s">
        <v>225</v>
      </c>
      <c r="T383" s="8"/>
      <c r="U383" s="8"/>
      <c r="V383" s="713"/>
      <c r="W383" s="713"/>
      <c r="X383" s="713"/>
      <c r="Y383" s="713"/>
      <c r="Z383" s="713"/>
      <c r="AA383" s="713"/>
      <c r="AB383" s="713"/>
      <c r="AC383" s="713"/>
      <c r="AD383" s="713"/>
      <c r="AE383" s="713"/>
      <c r="AF383" s="713"/>
      <c r="AG383" s="713"/>
      <c r="AH383" s="713"/>
      <c r="AI383" s="713"/>
      <c r="AJ383" s="713"/>
      <c r="AK383" s="713"/>
      <c r="AL383" s="713"/>
      <c r="AM383" s="713"/>
      <c r="AN383" s="713"/>
      <c r="AO383" s="713"/>
      <c r="AP383" s="713"/>
      <c r="AQ383" s="715"/>
    </row>
    <row r="384" spans="1:45" s="707" customFormat="1" ht="12.75" customHeight="1" x14ac:dyDescent="0.25">
      <c r="A384" s="8"/>
      <c r="B384" s="8"/>
      <c r="C384" s="848" t="s">
        <v>151</v>
      </c>
      <c r="D384" s="57"/>
      <c r="E384" s="182"/>
      <c r="F384" s="57"/>
      <c r="G384" s="57"/>
      <c r="H384" s="57"/>
      <c r="I384" s="57"/>
      <c r="J384" s="57"/>
      <c r="K384" s="57"/>
      <c r="L384" s="1447">
        <v>0</v>
      </c>
      <c r="M384" s="1448">
        <v>0</v>
      </c>
      <c r="N384" s="1449">
        <v>0</v>
      </c>
      <c r="O384" s="1450">
        <v>0</v>
      </c>
      <c r="P384" s="1451">
        <v>0</v>
      </c>
      <c r="Q384" s="1451">
        <v>0</v>
      </c>
      <c r="R384" s="1452">
        <v>0</v>
      </c>
      <c r="S384" s="1453">
        <v>0</v>
      </c>
      <c r="T384" s="8"/>
      <c r="U384" s="8"/>
      <c r="V384" s="713"/>
      <c r="W384" s="713"/>
      <c r="X384" s="713"/>
      <c r="Y384" s="713"/>
      <c r="Z384" s="713"/>
      <c r="AA384" s="713"/>
      <c r="AB384" s="713"/>
      <c r="AC384" s="713"/>
      <c r="AD384" s="713"/>
      <c r="AE384" s="713"/>
      <c r="AF384" s="713"/>
      <c r="AG384" s="713"/>
      <c r="AH384" s="713"/>
      <c r="AI384" s="713"/>
      <c r="AJ384" s="713"/>
      <c r="AK384" s="713"/>
      <c r="AL384" s="713"/>
      <c r="AM384" s="713"/>
      <c r="AN384" s="713"/>
      <c r="AO384" s="713"/>
      <c r="AP384" s="713"/>
      <c r="AQ384" s="715"/>
    </row>
    <row r="385" spans="1:43" s="707" customFormat="1" ht="12.75" customHeight="1" x14ac:dyDescent="0.25">
      <c r="A385" s="8"/>
      <c r="B385" s="8"/>
      <c r="C385" s="856" t="s">
        <v>238</v>
      </c>
      <c r="D385" s="857"/>
      <c r="E385" s="857"/>
      <c r="F385" s="857"/>
      <c r="G385" s="857"/>
      <c r="H385" s="857"/>
      <c r="I385" s="857"/>
      <c r="J385" s="857"/>
      <c r="K385" s="857"/>
      <c r="L385" s="1454">
        <v>0</v>
      </c>
      <c r="M385" s="1454">
        <v>0</v>
      </c>
      <c r="N385" s="1455">
        <v>0</v>
      </c>
      <c r="O385" s="1456">
        <v>0</v>
      </c>
      <c r="P385" s="1457">
        <v>0</v>
      </c>
      <c r="Q385" s="1457">
        <v>0</v>
      </c>
      <c r="R385" s="1458">
        <v>0</v>
      </c>
      <c r="S385" s="1459">
        <v>0</v>
      </c>
      <c r="T385" s="8"/>
      <c r="U385" s="8"/>
      <c r="V385" s="713"/>
      <c r="W385" s="713"/>
      <c r="X385" s="713"/>
      <c r="Y385" s="713"/>
      <c r="Z385" s="713"/>
      <c r="AA385" s="713"/>
      <c r="AB385" s="713"/>
      <c r="AC385" s="713"/>
      <c r="AD385" s="713"/>
      <c r="AE385" s="713"/>
      <c r="AF385" s="713"/>
      <c r="AG385" s="713"/>
      <c r="AH385" s="713"/>
      <c r="AI385" s="713"/>
      <c r="AJ385" s="713"/>
      <c r="AK385" s="713"/>
      <c r="AL385" s="713"/>
      <c r="AM385" s="713"/>
      <c r="AN385" s="713"/>
      <c r="AO385" s="713"/>
      <c r="AP385" s="713"/>
      <c r="AQ385" s="715"/>
    </row>
    <row r="386" spans="1:43" s="707" customFormat="1" ht="12.75" customHeight="1" x14ac:dyDescent="0.25">
      <c r="A386" s="8"/>
      <c r="B386" s="8"/>
      <c r="C386" s="56" t="s">
        <v>80</v>
      </c>
      <c r="D386" s="56"/>
      <c r="E386" s="56"/>
      <c r="F386" s="57"/>
      <c r="G386" s="57"/>
      <c r="H386" s="57"/>
      <c r="I386" s="57"/>
      <c r="J386" s="57"/>
      <c r="K386" s="57"/>
      <c r="L386" s="1460">
        <v>0</v>
      </c>
      <c r="M386" s="1460">
        <v>0</v>
      </c>
      <c r="N386" s="1461">
        <v>0</v>
      </c>
      <c r="O386" s="1461">
        <v>0</v>
      </c>
      <c r="P386" s="1462">
        <v>0</v>
      </c>
      <c r="Q386" s="1462">
        <v>0</v>
      </c>
      <c r="R386" s="1463">
        <v>0</v>
      </c>
      <c r="S386" s="1464">
        <v>0</v>
      </c>
      <c r="T386" s="8"/>
      <c r="U386" s="8"/>
      <c r="V386" s="713"/>
      <c r="W386" s="713"/>
      <c r="X386" s="713"/>
      <c r="Y386" s="713"/>
      <c r="Z386" s="713"/>
      <c r="AA386" s="713"/>
      <c r="AB386" s="713"/>
      <c r="AC386" s="713"/>
      <c r="AD386" s="713"/>
      <c r="AE386" s="713"/>
      <c r="AF386" s="713"/>
      <c r="AG386" s="713"/>
      <c r="AH386" s="713"/>
      <c r="AI386" s="713"/>
      <c r="AJ386" s="713"/>
      <c r="AK386" s="713"/>
      <c r="AL386" s="713"/>
      <c r="AM386" s="713"/>
      <c r="AN386" s="713"/>
      <c r="AO386" s="713"/>
      <c r="AP386" s="713"/>
      <c r="AQ386" s="715"/>
    </row>
    <row r="387" spans="1:43" s="707" customFormat="1" ht="12.75" customHeight="1" x14ac:dyDescent="0.25">
      <c r="A387" s="8"/>
      <c r="B387" s="8"/>
      <c r="C387" s="8"/>
      <c r="D387" s="8"/>
      <c r="E387" s="8"/>
      <c r="F387" s="8"/>
      <c r="G387" s="8"/>
      <c r="H387" s="8"/>
      <c r="I387" s="11"/>
      <c r="J387" s="1128"/>
      <c r="K387" s="1128"/>
      <c r="L387" s="1128"/>
      <c r="M387" s="1128"/>
      <c r="N387" s="1128"/>
      <c r="O387" s="1128"/>
      <c r="P387" s="40"/>
      <c r="Q387" s="8"/>
      <c r="R387" s="8"/>
      <c r="S387" s="8"/>
      <c r="T387" s="8"/>
      <c r="U387" s="8"/>
      <c r="V387" s="713"/>
      <c r="W387" s="713"/>
      <c r="X387" s="713"/>
      <c r="Y387" s="713"/>
      <c r="Z387" s="713"/>
      <c r="AA387" s="713"/>
      <c r="AB387" s="713"/>
      <c r="AC387" s="713"/>
      <c r="AD387" s="713"/>
      <c r="AE387" s="713"/>
      <c r="AF387" s="713"/>
      <c r="AG387" s="713"/>
      <c r="AH387" s="713"/>
      <c r="AI387" s="713"/>
      <c r="AJ387" s="713"/>
      <c r="AK387" s="713"/>
      <c r="AL387" s="713"/>
      <c r="AM387" s="713"/>
      <c r="AN387" s="713"/>
      <c r="AO387" s="713"/>
      <c r="AP387" s="713"/>
      <c r="AQ387" s="715"/>
    </row>
    <row r="388" spans="1:43" s="707" customFormat="1" ht="12.75" customHeight="1" x14ac:dyDescent="0.25">
      <c r="A388" s="8"/>
      <c r="B388" s="8"/>
      <c r="C388" s="8"/>
      <c r="D388" s="8"/>
      <c r="E388" s="8"/>
      <c r="F388" s="8"/>
      <c r="G388" s="8"/>
      <c r="H388" s="8"/>
      <c r="I388" s="11"/>
      <c r="J388" s="1128"/>
      <c r="K388" s="1128"/>
      <c r="L388" s="1128"/>
      <c r="M388" s="1128"/>
      <c r="N388" s="1128"/>
      <c r="O388" s="1128"/>
      <c r="P388" s="40"/>
      <c r="Q388" s="8"/>
      <c r="R388" s="8"/>
      <c r="S388" s="8"/>
      <c r="T388" s="8"/>
      <c r="U388" s="8"/>
      <c r="V388" s="713"/>
      <c r="W388" s="713"/>
      <c r="X388" s="713"/>
      <c r="Y388" s="713"/>
      <c r="Z388" s="713"/>
      <c r="AA388" s="713"/>
      <c r="AB388" s="713"/>
      <c r="AC388" s="713"/>
      <c r="AD388" s="713"/>
      <c r="AE388" s="713"/>
      <c r="AF388" s="713"/>
      <c r="AG388" s="713"/>
      <c r="AH388" s="713"/>
      <c r="AI388" s="713"/>
      <c r="AJ388" s="713"/>
      <c r="AK388" s="713"/>
      <c r="AL388" s="713"/>
      <c r="AM388" s="713"/>
      <c r="AN388" s="713"/>
      <c r="AO388" s="713"/>
      <c r="AP388" s="713"/>
      <c r="AQ388" s="715"/>
    </row>
    <row r="389" spans="1:43" s="707" customFormat="1" ht="12.75" customHeight="1" x14ac:dyDescent="0.25">
      <c r="A389" s="8"/>
      <c r="B389" s="8"/>
      <c r="C389" s="8"/>
      <c r="D389" s="8"/>
      <c r="E389" s="8"/>
      <c r="F389" s="8"/>
      <c r="G389" s="8"/>
      <c r="H389" s="8"/>
      <c r="I389" s="11"/>
      <c r="J389" s="1128"/>
      <c r="K389" s="1128"/>
      <c r="L389" s="1743" t="s">
        <v>200</v>
      </c>
      <c r="M389" s="1744"/>
      <c r="N389" s="1744"/>
      <c r="O389" s="1745"/>
      <c r="P389" s="1788" t="s">
        <v>201</v>
      </c>
      <c r="Q389" s="1789"/>
      <c r="R389" s="1789"/>
      <c r="S389" s="1790"/>
      <c r="T389" s="8"/>
      <c r="U389" s="8"/>
      <c r="V389" s="713"/>
      <c r="W389" s="713"/>
      <c r="X389" s="713"/>
      <c r="Y389" s="713"/>
      <c r="Z389" s="713"/>
      <c r="AA389" s="713"/>
      <c r="AB389" s="713"/>
      <c r="AC389" s="713"/>
      <c r="AD389" s="713"/>
      <c r="AE389" s="713"/>
      <c r="AF389" s="713"/>
      <c r="AG389" s="713"/>
      <c r="AH389" s="713"/>
      <c r="AI389" s="713"/>
      <c r="AJ389" s="713"/>
      <c r="AK389" s="713"/>
      <c r="AL389" s="713"/>
      <c r="AM389" s="713"/>
      <c r="AN389" s="713"/>
      <c r="AO389" s="713"/>
      <c r="AP389" s="713"/>
      <c r="AQ389" s="715"/>
    </row>
    <row r="390" spans="1:43" s="707" customFormat="1" ht="12.75" customHeight="1" x14ac:dyDescent="0.25">
      <c r="A390" s="8"/>
      <c r="B390" s="8"/>
      <c r="C390" s="8"/>
      <c r="D390" s="8"/>
      <c r="E390" s="8"/>
      <c r="F390" s="8"/>
      <c r="G390" s="8"/>
      <c r="H390" s="8"/>
      <c r="I390" s="11"/>
      <c r="J390" s="1128"/>
      <c r="K390" s="1128"/>
      <c r="L390" s="1785" t="s">
        <v>229</v>
      </c>
      <c r="M390" s="1786"/>
      <c r="N390" s="1786"/>
      <c r="O390" s="1787"/>
      <c r="P390" s="1667" t="s">
        <v>229</v>
      </c>
      <c r="Q390" s="1668"/>
      <c r="R390" s="1668"/>
      <c r="S390" s="1669"/>
      <c r="T390" s="8"/>
      <c r="U390" s="8">
        <v>0</v>
      </c>
      <c r="V390" s="713"/>
      <c r="W390" s="713"/>
      <c r="X390" s="713"/>
      <c r="Y390" s="713"/>
      <c r="Z390" s="713"/>
      <c r="AA390" s="713"/>
      <c r="AB390" s="713"/>
      <c r="AC390" s="713"/>
      <c r="AD390" s="713"/>
      <c r="AE390" s="713"/>
      <c r="AF390" s="713"/>
      <c r="AG390" s="713"/>
      <c r="AH390" s="713"/>
      <c r="AI390" s="713"/>
      <c r="AJ390" s="713"/>
      <c r="AK390" s="713"/>
      <c r="AL390" s="713"/>
      <c r="AM390" s="713"/>
      <c r="AN390" s="713"/>
      <c r="AO390" s="713"/>
      <c r="AP390" s="713"/>
      <c r="AQ390" s="715"/>
    </row>
    <row r="391" spans="1:43" s="707" customFormat="1" ht="39.450000000000003" customHeight="1" x14ac:dyDescent="0.25">
      <c r="A391" s="8"/>
      <c r="B391" s="8"/>
      <c r="C391" s="867" t="s">
        <v>230</v>
      </c>
      <c r="D391" s="868"/>
      <c r="E391" s="55"/>
      <c r="F391" s="868"/>
      <c r="G391" s="868"/>
      <c r="H391" s="868"/>
      <c r="I391" s="868"/>
      <c r="J391" s="868"/>
      <c r="K391" s="868"/>
      <c r="L391" s="1131" t="s">
        <v>227</v>
      </c>
      <c r="M391" s="1131" t="s">
        <v>218</v>
      </c>
      <c r="N391" s="1132" t="s">
        <v>226</v>
      </c>
      <c r="O391" s="1133" t="s">
        <v>225</v>
      </c>
      <c r="P391" s="1134" t="s">
        <v>227</v>
      </c>
      <c r="Q391" s="1134" t="s">
        <v>218</v>
      </c>
      <c r="R391" s="1135" t="s">
        <v>226</v>
      </c>
      <c r="S391" s="1136" t="s">
        <v>225</v>
      </c>
      <c r="T391" s="8"/>
      <c r="U391" s="8"/>
      <c r="V391" s="713"/>
      <c r="W391" s="713"/>
      <c r="X391" s="713"/>
      <c r="Y391" s="713"/>
      <c r="Z391" s="713"/>
      <c r="AA391" s="713"/>
      <c r="AB391" s="713"/>
      <c r="AC391" s="713"/>
      <c r="AD391" s="713"/>
      <c r="AE391" s="713"/>
      <c r="AF391" s="713"/>
      <c r="AG391" s="713"/>
      <c r="AH391" s="713"/>
      <c r="AI391" s="713"/>
      <c r="AJ391" s="713"/>
      <c r="AK391" s="713"/>
      <c r="AL391" s="713"/>
      <c r="AM391" s="713"/>
      <c r="AN391" s="713"/>
      <c r="AO391" s="713"/>
      <c r="AP391" s="713"/>
      <c r="AQ391" s="715"/>
    </row>
    <row r="392" spans="1:43" s="707" customFormat="1" ht="12.75" customHeight="1" x14ac:dyDescent="0.25">
      <c r="A392" s="8"/>
      <c r="B392" s="8"/>
      <c r="C392" s="836" t="str">
        <f>$C$32</f>
        <v>Power Market Risk</v>
      </c>
      <c r="D392" s="57"/>
      <c r="E392" s="57"/>
      <c r="F392" s="57"/>
      <c r="G392" s="8"/>
      <c r="H392" s="8"/>
      <c r="I392" s="11"/>
      <c r="J392" s="1128"/>
      <c r="K392" s="1128"/>
      <c r="L392" s="1423">
        <v>0</v>
      </c>
      <c r="M392" s="1423">
        <v>0</v>
      </c>
      <c r="N392" s="1424">
        <v>0</v>
      </c>
      <c r="O392" s="1425">
        <v>0</v>
      </c>
      <c r="P392" s="1426">
        <v>0</v>
      </c>
      <c r="Q392" s="1427">
        <v>0</v>
      </c>
      <c r="R392" s="1428">
        <v>0</v>
      </c>
      <c r="S392" s="1429">
        <v>0</v>
      </c>
      <c r="T392" s="8"/>
      <c r="U392" s="8"/>
      <c r="V392" s="713"/>
      <c r="W392" s="713"/>
      <c r="X392" s="713"/>
      <c r="Y392" s="713"/>
      <c r="Z392" s="713"/>
      <c r="AA392" s="713"/>
      <c r="AB392" s="713"/>
      <c r="AC392" s="713"/>
      <c r="AD392" s="713"/>
      <c r="AE392" s="713"/>
      <c r="AF392" s="713"/>
      <c r="AG392" s="713"/>
      <c r="AH392" s="713"/>
      <c r="AI392" s="713"/>
      <c r="AJ392" s="713"/>
      <c r="AK392" s="713"/>
      <c r="AL392" s="713"/>
      <c r="AM392" s="713"/>
      <c r="AN392" s="713"/>
      <c r="AO392" s="713"/>
      <c r="AP392" s="713"/>
      <c r="AQ392" s="715"/>
    </row>
    <row r="393" spans="1:43" s="707" customFormat="1" ht="12.75" customHeight="1" x14ac:dyDescent="0.25">
      <c r="A393" s="8"/>
      <c r="B393" s="8"/>
      <c r="C393" s="836" t="str">
        <f>$C$33</f>
        <v>Permits Risk</v>
      </c>
      <c r="D393" s="57"/>
      <c r="E393" s="57"/>
      <c r="F393" s="57"/>
      <c r="G393" s="8"/>
      <c r="H393" s="8"/>
      <c r="I393" s="11"/>
      <c r="J393" s="1128"/>
      <c r="K393" s="1128"/>
      <c r="L393" s="1423">
        <v>0</v>
      </c>
      <c r="M393" s="1423">
        <v>0</v>
      </c>
      <c r="N393" s="1430">
        <v>0</v>
      </c>
      <c r="O393" s="1425">
        <v>0</v>
      </c>
      <c r="P393" s="1426">
        <v>0</v>
      </c>
      <c r="Q393" s="1431">
        <v>0</v>
      </c>
      <c r="R393" s="1432">
        <v>0</v>
      </c>
      <c r="S393" s="1433">
        <v>0</v>
      </c>
      <c r="T393" s="8"/>
      <c r="U393" s="8"/>
      <c r="V393" s="713"/>
      <c r="W393" s="713"/>
      <c r="X393" s="713"/>
      <c r="Y393" s="713"/>
      <c r="Z393" s="713"/>
      <c r="AA393" s="713"/>
      <c r="AB393" s="713"/>
      <c r="AC393" s="713"/>
      <c r="AD393" s="713"/>
      <c r="AE393" s="713"/>
      <c r="AF393" s="713"/>
      <c r="AG393" s="713"/>
      <c r="AH393" s="713"/>
      <c r="AI393" s="713"/>
      <c r="AJ393" s="713"/>
      <c r="AK393" s="713"/>
      <c r="AL393" s="713"/>
      <c r="AM393" s="713"/>
      <c r="AN393" s="713"/>
      <c r="AO393" s="713"/>
      <c r="AP393" s="713"/>
      <c r="AQ393" s="715"/>
    </row>
    <row r="394" spans="1:43" s="707" customFormat="1" ht="12.75" customHeight="1" x14ac:dyDescent="0.25">
      <c r="A394" s="8"/>
      <c r="B394" s="8"/>
      <c r="C394" s="836" t="str">
        <f>$C$34</f>
        <v>Social Acceptance Risk</v>
      </c>
      <c r="D394" s="57"/>
      <c r="E394" s="57"/>
      <c r="F394" s="57"/>
      <c r="G394" s="8"/>
      <c r="H394" s="8"/>
      <c r="I394" s="11"/>
      <c r="J394" s="1128"/>
      <c r="K394" s="1128"/>
      <c r="L394" s="1423">
        <v>0</v>
      </c>
      <c r="M394" s="1423">
        <v>0</v>
      </c>
      <c r="N394" s="1430">
        <v>0</v>
      </c>
      <c r="O394" s="1425">
        <v>0</v>
      </c>
      <c r="P394" s="1426">
        <v>0</v>
      </c>
      <c r="Q394" s="1431">
        <v>0</v>
      </c>
      <c r="R394" s="1432">
        <v>0</v>
      </c>
      <c r="S394" s="1433">
        <v>0</v>
      </c>
      <c r="T394" s="8"/>
      <c r="U394" s="8"/>
      <c r="V394" s="713"/>
      <c r="W394" s="713"/>
      <c r="X394" s="713"/>
      <c r="Y394" s="713"/>
      <c r="Z394" s="713"/>
      <c r="AA394" s="713"/>
      <c r="AB394" s="713"/>
      <c r="AC394" s="713"/>
      <c r="AD394" s="713"/>
      <c r="AE394" s="713"/>
      <c r="AF394" s="713"/>
      <c r="AG394" s="713"/>
      <c r="AH394" s="713"/>
      <c r="AI394" s="713"/>
      <c r="AJ394" s="713"/>
      <c r="AK394" s="713"/>
      <c r="AL394" s="713"/>
      <c r="AM394" s="713"/>
      <c r="AN394" s="713"/>
      <c r="AO394" s="713"/>
      <c r="AP394" s="713"/>
      <c r="AQ394" s="715"/>
    </row>
    <row r="395" spans="1:43" s="707" customFormat="1" ht="12.75" customHeight="1" x14ac:dyDescent="0.25">
      <c r="A395" s="8"/>
      <c r="B395" s="8"/>
      <c r="C395" s="836" t="str">
        <f>$C$35</f>
        <v>Resource &amp; Technology Risk</v>
      </c>
      <c r="D395" s="57"/>
      <c r="E395" s="57"/>
      <c r="F395" s="57"/>
      <c r="G395" s="8"/>
      <c r="H395" s="8"/>
      <c r="I395" s="11"/>
      <c r="J395" s="1128"/>
      <c r="K395" s="1128"/>
      <c r="L395" s="1423">
        <v>0</v>
      </c>
      <c r="M395" s="1423">
        <v>0</v>
      </c>
      <c r="N395" s="1430">
        <v>0</v>
      </c>
      <c r="O395" s="1425">
        <v>0</v>
      </c>
      <c r="P395" s="1426">
        <v>0</v>
      </c>
      <c r="Q395" s="1431">
        <v>0</v>
      </c>
      <c r="R395" s="1432">
        <v>0</v>
      </c>
      <c r="S395" s="1433">
        <v>0</v>
      </c>
      <c r="T395" s="8"/>
      <c r="U395" s="8"/>
      <c r="V395" s="713"/>
      <c r="W395" s="713"/>
      <c r="X395" s="713"/>
      <c r="Y395" s="713"/>
      <c r="Z395" s="713"/>
      <c r="AA395" s="713"/>
      <c r="AB395" s="713"/>
      <c r="AC395" s="713"/>
      <c r="AD395" s="713"/>
      <c r="AE395" s="713"/>
      <c r="AF395" s="713"/>
      <c r="AG395" s="713"/>
      <c r="AH395" s="713"/>
      <c r="AI395" s="713"/>
      <c r="AJ395" s="713"/>
      <c r="AK395" s="713"/>
      <c r="AL395" s="713"/>
      <c r="AM395" s="713"/>
      <c r="AN395" s="713"/>
      <c r="AO395" s="713"/>
      <c r="AP395" s="713"/>
      <c r="AQ395" s="715"/>
    </row>
    <row r="396" spans="1:43" s="707" customFormat="1" ht="12.75" customHeight="1" x14ac:dyDescent="0.25">
      <c r="A396" s="8"/>
      <c r="B396" s="8"/>
      <c r="C396" s="836" t="str">
        <f>$C$36</f>
        <v>Grid/Transmission Risk</v>
      </c>
      <c r="D396" s="57"/>
      <c r="E396" s="57"/>
      <c r="F396" s="57"/>
      <c r="G396" s="8"/>
      <c r="H396" s="8"/>
      <c r="I396" s="11"/>
      <c r="J396" s="1128"/>
      <c r="K396" s="1128"/>
      <c r="L396" s="1423">
        <v>0</v>
      </c>
      <c r="M396" s="1423">
        <v>0</v>
      </c>
      <c r="N396" s="1430">
        <v>0</v>
      </c>
      <c r="O396" s="1425">
        <v>0</v>
      </c>
      <c r="P396" s="1426">
        <v>0</v>
      </c>
      <c r="Q396" s="1431">
        <v>0</v>
      </c>
      <c r="R396" s="1432">
        <v>0</v>
      </c>
      <c r="S396" s="1433">
        <v>0</v>
      </c>
      <c r="T396" s="8"/>
      <c r="U396" s="8"/>
      <c r="V396" s="713"/>
      <c r="W396" s="713"/>
      <c r="X396" s="713"/>
      <c r="Y396" s="713"/>
      <c r="Z396" s="713"/>
      <c r="AA396" s="713"/>
      <c r="AB396" s="713"/>
      <c r="AC396" s="713"/>
      <c r="AD396" s="713"/>
      <c r="AE396" s="713"/>
      <c r="AF396" s="713"/>
      <c r="AG396" s="713"/>
      <c r="AH396" s="713"/>
      <c r="AI396" s="713"/>
      <c r="AJ396" s="713"/>
      <c r="AK396" s="713"/>
      <c r="AL396" s="713"/>
      <c r="AM396" s="713"/>
      <c r="AN396" s="713"/>
      <c r="AO396" s="713"/>
      <c r="AP396" s="713"/>
      <c r="AQ396" s="715"/>
    </row>
    <row r="397" spans="1:43" s="707" customFormat="1" ht="12.75" customHeight="1" x14ac:dyDescent="0.25">
      <c r="A397" s="8"/>
      <c r="B397" s="8"/>
      <c r="C397" s="836" t="str">
        <f>$C$37</f>
        <v>Counterparty Risk</v>
      </c>
      <c r="D397" s="57"/>
      <c r="E397" s="57"/>
      <c r="F397" s="57"/>
      <c r="G397" s="8"/>
      <c r="H397" s="8"/>
      <c r="I397" s="11"/>
      <c r="J397" s="1128"/>
      <c r="K397" s="1128"/>
      <c r="L397" s="1423">
        <v>0</v>
      </c>
      <c r="M397" s="1423">
        <v>0</v>
      </c>
      <c r="N397" s="1430">
        <v>0</v>
      </c>
      <c r="O397" s="1425">
        <v>0</v>
      </c>
      <c r="P397" s="1426">
        <v>0</v>
      </c>
      <c r="Q397" s="1431">
        <v>0</v>
      </c>
      <c r="R397" s="1432">
        <v>0</v>
      </c>
      <c r="S397" s="1433">
        <v>0</v>
      </c>
      <c r="T397" s="8"/>
      <c r="U397" s="8"/>
      <c r="V397" s="713"/>
      <c r="W397" s="713"/>
      <c r="X397" s="713"/>
      <c r="Y397" s="713"/>
      <c r="Z397" s="713"/>
      <c r="AA397" s="713"/>
      <c r="AB397" s="713"/>
      <c r="AC397" s="713"/>
      <c r="AD397" s="713"/>
      <c r="AE397" s="713"/>
      <c r="AF397" s="713"/>
      <c r="AG397" s="713"/>
      <c r="AH397" s="713"/>
      <c r="AI397" s="713"/>
      <c r="AJ397" s="713"/>
      <c r="AK397" s="713"/>
      <c r="AL397" s="713"/>
      <c r="AM397" s="713"/>
      <c r="AN397" s="713"/>
      <c r="AO397" s="713"/>
      <c r="AP397" s="713"/>
      <c r="AQ397" s="715"/>
    </row>
    <row r="398" spans="1:43" s="707" customFormat="1" ht="12.75" customHeight="1" x14ac:dyDescent="0.25">
      <c r="A398" s="8"/>
      <c r="B398" s="8"/>
      <c r="C398" s="836" t="str">
        <f>$C$38</f>
        <v>Financial Sector Risk</v>
      </c>
      <c r="D398" s="57"/>
      <c r="E398" s="57"/>
      <c r="F398" s="57"/>
      <c r="G398" s="8"/>
      <c r="H398" s="8"/>
      <c r="I398" s="11"/>
      <c r="J398" s="1128"/>
      <c r="K398" s="1128"/>
      <c r="L398" s="1423">
        <v>0</v>
      </c>
      <c r="M398" s="1423">
        <v>0</v>
      </c>
      <c r="N398" s="1430">
        <v>0</v>
      </c>
      <c r="O398" s="1425">
        <v>0</v>
      </c>
      <c r="P398" s="1426">
        <v>0</v>
      </c>
      <c r="Q398" s="1431">
        <v>0</v>
      </c>
      <c r="R398" s="1432">
        <v>0</v>
      </c>
      <c r="S398" s="1433">
        <v>0</v>
      </c>
      <c r="T398" s="8"/>
      <c r="U398" s="8"/>
      <c r="V398" s="713"/>
      <c r="W398" s="713"/>
      <c r="X398" s="713"/>
      <c r="Y398" s="713"/>
      <c r="Z398" s="713"/>
      <c r="AA398" s="713"/>
      <c r="AB398" s="713"/>
      <c r="AC398" s="713"/>
      <c r="AD398" s="713"/>
      <c r="AE398" s="713"/>
      <c r="AF398" s="713"/>
      <c r="AG398" s="713"/>
      <c r="AH398" s="713"/>
      <c r="AI398" s="713"/>
      <c r="AJ398" s="713"/>
      <c r="AK398" s="713"/>
      <c r="AL398" s="713"/>
      <c r="AM398" s="713"/>
      <c r="AN398" s="713"/>
      <c r="AO398" s="713"/>
      <c r="AP398" s="713"/>
      <c r="AQ398" s="715"/>
    </row>
    <row r="399" spans="1:43" s="707" customFormat="1" ht="12.75" customHeight="1" x14ac:dyDescent="0.25">
      <c r="A399" s="8"/>
      <c r="B399" s="8"/>
      <c r="C399" s="836" t="str">
        <f>$C$39</f>
        <v>Political Risk</v>
      </c>
      <c r="D399" s="57"/>
      <c r="E399" s="57"/>
      <c r="F399" s="57"/>
      <c r="G399" s="8"/>
      <c r="H399" s="8"/>
      <c r="I399" s="11"/>
      <c r="J399" s="1128"/>
      <c r="K399" s="1128"/>
      <c r="L399" s="1423">
        <v>0</v>
      </c>
      <c r="M399" s="1423">
        <v>0</v>
      </c>
      <c r="N399" s="1430">
        <v>0</v>
      </c>
      <c r="O399" s="1425">
        <v>0</v>
      </c>
      <c r="P399" s="1426">
        <v>0</v>
      </c>
      <c r="Q399" s="1431">
        <v>0</v>
      </c>
      <c r="R399" s="1432">
        <v>0</v>
      </c>
      <c r="S399" s="1433">
        <v>0</v>
      </c>
      <c r="T399" s="8"/>
      <c r="U399" s="8"/>
      <c r="V399" s="713"/>
      <c r="W399" s="713"/>
      <c r="X399" s="713"/>
      <c r="Y399" s="713"/>
      <c r="Z399" s="713"/>
      <c r="AA399" s="713"/>
      <c r="AB399" s="713"/>
      <c r="AC399" s="713"/>
      <c r="AD399" s="713"/>
      <c r="AE399" s="713"/>
      <c r="AF399" s="713"/>
      <c r="AG399" s="713"/>
      <c r="AH399" s="713"/>
      <c r="AI399" s="713"/>
      <c r="AJ399" s="713"/>
      <c r="AK399" s="713"/>
      <c r="AL399" s="713"/>
      <c r="AM399" s="713"/>
      <c r="AN399" s="713"/>
      <c r="AO399" s="713"/>
      <c r="AP399" s="713"/>
      <c r="AQ399" s="715"/>
    </row>
    <row r="400" spans="1:43" s="707" customFormat="1" ht="12.75" customHeight="1" x14ac:dyDescent="0.25">
      <c r="A400" s="8"/>
      <c r="B400" s="8"/>
      <c r="C400" s="857" t="str">
        <f>$C$40</f>
        <v>Currency/Macro Risk</v>
      </c>
      <c r="D400" s="857"/>
      <c r="E400" s="857"/>
      <c r="F400" s="857"/>
      <c r="G400" s="857"/>
      <c r="H400" s="857"/>
      <c r="I400" s="857"/>
      <c r="J400" s="857"/>
      <c r="K400" s="857"/>
      <c r="L400" s="1434">
        <v>0</v>
      </c>
      <c r="M400" s="1423">
        <v>0</v>
      </c>
      <c r="N400" s="1430">
        <v>0</v>
      </c>
      <c r="O400" s="1435">
        <v>0</v>
      </c>
      <c r="P400" s="1436">
        <v>0</v>
      </c>
      <c r="Q400" s="1436">
        <v>0</v>
      </c>
      <c r="R400" s="1437">
        <v>0</v>
      </c>
      <c r="S400" s="1438">
        <v>0</v>
      </c>
      <c r="T400" s="8"/>
      <c r="U400" s="8"/>
      <c r="V400" s="713"/>
      <c r="W400" s="713"/>
      <c r="X400" s="713"/>
      <c r="Y400" s="713"/>
      <c r="Z400" s="713"/>
      <c r="AA400" s="713"/>
      <c r="AB400" s="713"/>
      <c r="AC400" s="713"/>
      <c r="AD400" s="713"/>
      <c r="AE400" s="713"/>
      <c r="AF400" s="713"/>
      <c r="AG400" s="713"/>
      <c r="AH400" s="713"/>
      <c r="AI400" s="713"/>
      <c r="AJ400" s="713"/>
      <c r="AK400" s="713"/>
      <c r="AL400" s="713"/>
      <c r="AM400" s="713"/>
      <c r="AN400" s="713"/>
      <c r="AO400" s="713"/>
      <c r="AP400" s="713"/>
      <c r="AQ400" s="715"/>
    </row>
    <row r="401" spans="1:43" s="707" customFormat="1" ht="12.75" customHeight="1" x14ac:dyDescent="0.25">
      <c r="A401" s="8"/>
      <c r="B401" s="8"/>
      <c r="C401" s="56" t="s">
        <v>81</v>
      </c>
      <c r="D401" s="132"/>
      <c r="E401" s="56"/>
      <c r="F401" s="57"/>
      <c r="G401" s="57"/>
      <c r="H401" s="57"/>
      <c r="I401" s="57"/>
      <c r="J401" s="57"/>
      <c r="K401" s="57"/>
      <c r="L401" s="1439">
        <v>0</v>
      </c>
      <c r="M401" s="1440">
        <v>0</v>
      </c>
      <c r="N401" s="1441">
        <v>0</v>
      </c>
      <c r="O401" s="1442">
        <v>0</v>
      </c>
      <c r="P401" s="1443">
        <v>0</v>
      </c>
      <c r="Q401" s="1444">
        <v>0</v>
      </c>
      <c r="R401" s="1445">
        <v>0</v>
      </c>
      <c r="S401" s="1446">
        <v>0</v>
      </c>
      <c r="T401" s="8"/>
      <c r="U401" s="8"/>
      <c r="V401" s="713"/>
      <c r="W401" s="713"/>
      <c r="X401" s="713"/>
      <c r="Y401" s="713"/>
      <c r="Z401" s="713"/>
      <c r="AA401" s="713"/>
      <c r="AB401" s="713"/>
      <c r="AC401" s="713"/>
      <c r="AD401" s="713"/>
      <c r="AE401" s="713"/>
      <c r="AF401" s="713"/>
      <c r="AG401" s="713"/>
      <c r="AH401" s="713"/>
      <c r="AI401" s="713"/>
      <c r="AJ401" s="713"/>
      <c r="AK401" s="713"/>
      <c r="AL401" s="713"/>
      <c r="AM401" s="713"/>
      <c r="AN401" s="713"/>
      <c r="AO401" s="713"/>
      <c r="AP401" s="713"/>
      <c r="AQ401" s="715"/>
    </row>
    <row r="402" spans="1:43" s="707" customFormat="1" ht="12.75" customHeight="1" x14ac:dyDescent="0.25">
      <c r="A402" s="8"/>
      <c r="B402" s="8"/>
      <c r="C402" s="8"/>
      <c r="D402" s="8"/>
      <c r="E402" s="8"/>
      <c r="F402" s="8"/>
      <c r="G402" s="8"/>
      <c r="H402" s="8"/>
      <c r="I402" s="11"/>
      <c r="J402" s="1128"/>
      <c r="K402" s="1128"/>
      <c r="L402" s="1128"/>
      <c r="M402" s="1128"/>
      <c r="N402" s="1128"/>
      <c r="O402" s="1128"/>
      <c r="P402" s="40"/>
      <c r="Q402" s="8"/>
      <c r="R402" s="8"/>
      <c r="S402" s="8"/>
      <c r="T402" s="8"/>
      <c r="U402" s="8"/>
      <c r="V402" s="713"/>
      <c r="W402" s="713"/>
      <c r="X402" s="713"/>
      <c r="Y402" s="713"/>
      <c r="Z402" s="713"/>
      <c r="AA402" s="713"/>
      <c r="AB402" s="713"/>
      <c r="AC402" s="713"/>
      <c r="AD402" s="713"/>
      <c r="AE402" s="713"/>
      <c r="AF402" s="713"/>
      <c r="AG402" s="713"/>
      <c r="AH402" s="713"/>
      <c r="AI402" s="713"/>
      <c r="AJ402" s="713"/>
      <c r="AK402" s="713"/>
      <c r="AL402" s="713"/>
      <c r="AM402" s="713"/>
      <c r="AN402" s="713"/>
      <c r="AO402" s="713"/>
      <c r="AP402" s="713"/>
      <c r="AQ402" s="715"/>
    </row>
    <row r="403" spans="1:43" s="707" customFormat="1" ht="12.75" customHeight="1" x14ac:dyDescent="0.25">
      <c r="A403" s="8"/>
      <c r="B403" s="8"/>
      <c r="C403" s="8"/>
      <c r="D403" s="8"/>
      <c r="E403" s="8"/>
      <c r="F403" s="8"/>
      <c r="G403" s="8"/>
      <c r="H403" s="8"/>
      <c r="I403" s="11"/>
      <c r="J403" s="1128"/>
      <c r="K403" s="1128"/>
      <c r="L403" s="1128"/>
      <c r="M403" s="1128"/>
      <c r="N403" s="1128"/>
      <c r="O403" s="1128"/>
      <c r="P403" s="40"/>
      <c r="Q403" s="8"/>
      <c r="R403" s="8"/>
      <c r="S403" s="8"/>
      <c r="T403" s="8"/>
      <c r="U403" s="8"/>
      <c r="V403" s="713"/>
      <c r="W403" s="713"/>
      <c r="X403" s="713"/>
      <c r="Y403" s="713"/>
      <c r="Z403" s="713"/>
      <c r="AA403" s="713"/>
      <c r="AB403" s="713"/>
      <c r="AC403" s="713"/>
      <c r="AD403" s="713"/>
      <c r="AE403" s="713"/>
      <c r="AF403" s="713"/>
      <c r="AG403" s="713"/>
      <c r="AH403" s="713"/>
      <c r="AI403" s="713"/>
      <c r="AJ403" s="713"/>
      <c r="AK403" s="713"/>
      <c r="AL403" s="713"/>
      <c r="AM403" s="713"/>
      <c r="AN403" s="713"/>
      <c r="AO403" s="713"/>
      <c r="AP403" s="713"/>
      <c r="AQ403" s="715"/>
    </row>
    <row r="404" spans="1:43" s="707" customFormat="1" ht="12.75" customHeight="1" x14ac:dyDescent="0.25">
      <c r="A404" s="8"/>
      <c r="B404" s="8"/>
      <c r="C404" s="8"/>
      <c r="D404" s="8"/>
      <c r="E404" s="8"/>
      <c r="F404" s="8"/>
      <c r="G404" s="8"/>
      <c r="H404" s="8"/>
      <c r="I404" s="11"/>
      <c r="J404" s="1128"/>
      <c r="K404" s="1128"/>
      <c r="L404" s="1128"/>
      <c r="M404" s="1128"/>
      <c r="N404" s="1128"/>
      <c r="O404" s="1128"/>
      <c r="P404" s="40"/>
      <c r="Q404" s="8"/>
      <c r="R404" s="8"/>
      <c r="S404" s="8"/>
      <c r="T404" s="8"/>
      <c r="U404" s="8"/>
      <c r="V404" s="713"/>
      <c r="W404" s="713"/>
      <c r="X404" s="713"/>
      <c r="Y404" s="713"/>
      <c r="Z404" s="713"/>
      <c r="AA404" s="713"/>
      <c r="AB404" s="713"/>
      <c r="AC404" s="713"/>
      <c r="AD404" s="713"/>
      <c r="AE404" s="713"/>
      <c r="AF404" s="713"/>
      <c r="AG404" s="713"/>
      <c r="AH404" s="713"/>
      <c r="AI404" s="713"/>
      <c r="AJ404" s="713"/>
      <c r="AK404" s="713"/>
      <c r="AL404" s="713"/>
      <c r="AM404" s="713"/>
      <c r="AN404" s="713"/>
      <c r="AO404" s="713"/>
      <c r="AP404" s="713"/>
      <c r="AQ404" s="715"/>
    </row>
    <row r="405" spans="1:43" s="707" customFormat="1" ht="12.75" customHeight="1" x14ac:dyDescent="0.25">
      <c r="A405" s="8"/>
      <c r="B405" s="8"/>
      <c r="C405" s="8"/>
      <c r="D405" s="8"/>
      <c r="E405" s="8"/>
      <c r="F405" s="8"/>
      <c r="G405" s="8"/>
      <c r="H405" s="8"/>
      <c r="I405" s="8"/>
      <c r="J405" s="1127"/>
      <c r="K405" s="1127"/>
      <c r="L405" s="1127"/>
      <c r="M405" s="1127"/>
      <c r="N405" s="1518" t="s">
        <v>464</v>
      </c>
      <c r="O405" s="1553"/>
      <c r="P405" s="1553"/>
      <c r="Q405" s="1554"/>
      <c r="R405" s="8"/>
      <c r="S405" s="8"/>
      <c r="T405" s="8"/>
      <c r="U405" s="8"/>
      <c r="V405" s="713"/>
      <c r="W405" s="713"/>
      <c r="X405" s="713"/>
      <c r="Y405" s="713"/>
      <c r="Z405" s="713"/>
      <c r="AA405" s="713"/>
      <c r="AB405" s="713"/>
      <c r="AC405" s="713"/>
      <c r="AD405" s="713"/>
      <c r="AE405" s="713"/>
      <c r="AF405" s="713"/>
      <c r="AG405" s="713"/>
      <c r="AH405" s="713"/>
      <c r="AI405" s="713"/>
      <c r="AJ405" s="713"/>
      <c r="AK405" s="713"/>
      <c r="AL405" s="713"/>
      <c r="AM405" s="713"/>
      <c r="AN405" s="713"/>
      <c r="AO405" s="713"/>
      <c r="AP405" s="713"/>
      <c r="AQ405" s="715"/>
    </row>
    <row r="406" spans="1:43" s="707" customFormat="1" ht="12.75" customHeight="1" x14ac:dyDescent="0.25">
      <c r="A406" s="8"/>
      <c r="B406" s="8"/>
      <c r="C406" s="8"/>
      <c r="D406" s="8"/>
      <c r="E406" s="8"/>
      <c r="F406" s="8"/>
      <c r="G406" s="8"/>
      <c r="H406" s="8"/>
      <c r="I406" s="8"/>
      <c r="J406" s="1127"/>
      <c r="K406" s="1127"/>
      <c r="L406" s="1127"/>
      <c r="M406" s="1127"/>
      <c r="N406" s="1501" t="s">
        <v>200</v>
      </c>
      <c r="O406" s="1502"/>
      <c r="P406" s="1503" t="s">
        <v>201</v>
      </c>
      <c r="Q406" s="1504"/>
      <c r="R406" s="8"/>
      <c r="S406" s="8"/>
      <c r="T406" s="8"/>
      <c r="U406" s="8"/>
      <c r="V406" s="713"/>
      <c r="W406" s="713"/>
      <c r="X406" s="713"/>
      <c r="Y406" s="713"/>
      <c r="Z406" s="713"/>
      <c r="AA406" s="713"/>
      <c r="AB406" s="713"/>
      <c r="AC406" s="713"/>
      <c r="AD406" s="713"/>
      <c r="AE406" s="713"/>
      <c r="AF406" s="713"/>
      <c r="AG406" s="713"/>
      <c r="AH406" s="713"/>
      <c r="AI406" s="713"/>
      <c r="AJ406" s="713"/>
      <c r="AK406" s="713"/>
      <c r="AL406" s="713"/>
      <c r="AM406" s="713"/>
      <c r="AN406" s="713"/>
      <c r="AO406" s="713"/>
      <c r="AP406" s="713"/>
      <c r="AQ406" s="715"/>
    </row>
    <row r="407" spans="1:43" s="707" customFormat="1" ht="12.75" customHeight="1" x14ac:dyDescent="0.25">
      <c r="A407" s="8"/>
      <c r="B407" s="8"/>
      <c r="C407" s="11" t="s">
        <v>465</v>
      </c>
      <c r="D407" s="711"/>
      <c r="E407" s="11"/>
      <c r="F407" s="11"/>
      <c r="G407" s="11"/>
      <c r="H407" s="11"/>
      <c r="I407" s="11"/>
      <c r="J407" s="1128" t="s">
        <v>614</v>
      </c>
      <c r="K407" s="1128"/>
      <c r="L407" s="1128"/>
      <c r="M407" s="1128"/>
      <c r="N407" s="1977">
        <v>0</v>
      </c>
      <c r="O407" s="1978"/>
      <c r="P407" s="1979">
        <v>0</v>
      </c>
      <c r="Q407" s="1980"/>
      <c r="R407" s="8"/>
      <c r="S407" s="8"/>
      <c r="T407" s="8"/>
      <c r="U407" s="8"/>
      <c r="V407" s="713"/>
      <c r="W407" s="713"/>
      <c r="X407" s="713"/>
      <c r="Y407" s="713"/>
      <c r="Z407" s="713"/>
      <c r="AA407" s="713"/>
      <c r="AB407" s="713"/>
      <c r="AC407" s="713"/>
      <c r="AD407" s="713"/>
      <c r="AE407" s="713"/>
      <c r="AF407" s="713"/>
      <c r="AG407" s="713"/>
      <c r="AH407" s="713"/>
      <c r="AI407" s="713"/>
      <c r="AJ407" s="713"/>
      <c r="AK407" s="713"/>
      <c r="AL407" s="713"/>
      <c r="AM407" s="713"/>
      <c r="AN407" s="713"/>
      <c r="AO407" s="713"/>
      <c r="AP407" s="713"/>
      <c r="AQ407" s="715"/>
    </row>
    <row r="408" spans="1:43" s="707" customFormat="1" ht="12.75" customHeight="1" x14ac:dyDescent="0.25">
      <c r="A408" s="8"/>
      <c r="B408" s="8"/>
      <c r="C408" s="711"/>
      <c r="D408" s="8" t="s">
        <v>466</v>
      </c>
      <c r="E408" s="711"/>
      <c r="F408" s="11"/>
      <c r="G408" s="11"/>
      <c r="H408" s="11"/>
      <c r="I408" s="11"/>
      <c r="J408" s="1127" t="s">
        <v>614</v>
      </c>
      <c r="K408" s="1127"/>
      <c r="L408" s="1127"/>
      <c r="M408" s="1128"/>
      <c r="N408" s="2009">
        <v>0</v>
      </c>
      <c r="O408" s="2010"/>
      <c r="P408" s="2011">
        <v>0</v>
      </c>
      <c r="Q408" s="2012"/>
      <c r="R408" s="8"/>
      <c r="S408" s="8"/>
      <c r="T408" s="8"/>
      <c r="U408" s="8"/>
      <c r="V408" s="713"/>
      <c r="W408" s="713"/>
      <c r="X408" s="713"/>
      <c r="Y408" s="713"/>
      <c r="Z408" s="713"/>
      <c r="AA408" s="713"/>
      <c r="AB408" s="713"/>
      <c r="AC408" s="713"/>
      <c r="AD408" s="713"/>
      <c r="AE408" s="713"/>
      <c r="AF408" s="713"/>
      <c r="AG408" s="713"/>
      <c r="AH408" s="713"/>
      <c r="AI408" s="713"/>
      <c r="AJ408" s="713"/>
      <c r="AK408" s="713"/>
      <c r="AL408" s="713"/>
      <c r="AM408" s="713"/>
      <c r="AN408" s="713"/>
      <c r="AO408" s="713"/>
      <c r="AP408" s="713"/>
      <c r="AQ408" s="715"/>
    </row>
    <row r="409" spans="1:43" s="707" customFormat="1" ht="12.75" customHeight="1" x14ac:dyDescent="0.25">
      <c r="A409" s="8"/>
      <c r="B409" s="8"/>
      <c r="C409" s="711"/>
      <c r="D409" s="8" t="s">
        <v>496</v>
      </c>
      <c r="E409" s="711"/>
      <c r="F409" s="11"/>
      <c r="G409" s="11"/>
      <c r="H409" s="11"/>
      <c r="I409" s="11"/>
      <c r="J409" s="1127" t="s">
        <v>614</v>
      </c>
      <c r="K409" s="1127"/>
      <c r="L409" s="1127"/>
      <c r="M409" s="1128"/>
      <c r="N409" s="2013">
        <v>0</v>
      </c>
      <c r="O409" s="2014"/>
      <c r="P409" s="2015">
        <v>0</v>
      </c>
      <c r="Q409" s="2016"/>
      <c r="R409" s="8"/>
      <c r="S409" s="8"/>
      <c r="T409" s="8"/>
      <c r="U409" s="8"/>
      <c r="V409" s="713"/>
      <c r="W409" s="713"/>
      <c r="X409" s="713"/>
      <c r="Y409" s="713"/>
      <c r="Z409" s="713"/>
      <c r="AA409" s="713"/>
      <c r="AB409" s="713"/>
      <c r="AC409" s="713"/>
      <c r="AD409" s="713"/>
      <c r="AE409" s="713"/>
      <c r="AF409" s="713"/>
      <c r="AG409" s="713"/>
      <c r="AH409" s="713"/>
      <c r="AI409" s="713"/>
      <c r="AJ409" s="713"/>
      <c r="AK409" s="713"/>
      <c r="AL409" s="713"/>
      <c r="AM409" s="713"/>
      <c r="AN409" s="713"/>
      <c r="AO409" s="713"/>
      <c r="AP409" s="713"/>
      <c r="AQ409" s="715"/>
    </row>
    <row r="410" spans="1:43" s="707" customFormat="1" ht="12.75" customHeight="1" x14ac:dyDescent="0.25">
      <c r="A410" s="8"/>
      <c r="B410" s="8"/>
      <c r="C410" s="8"/>
      <c r="D410" s="8"/>
      <c r="E410" s="8"/>
      <c r="F410" s="8"/>
      <c r="G410" s="8"/>
      <c r="H410" s="8"/>
      <c r="I410" s="11"/>
      <c r="J410" s="1128"/>
      <c r="K410" s="1128"/>
      <c r="L410" s="1128"/>
      <c r="M410" s="1128"/>
      <c r="N410" s="1128"/>
      <c r="O410" s="1128"/>
      <c r="P410" s="40"/>
      <c r="Q410" s="8"/>
      <c r="R410" s="8"/>
      <c r="S410" s="8"/>
      <c r="T410" s="8"/>
      <c r="U410" s="8"/>
      <c r="V410" s="713"/>
      <c r="W410" s="713"/>
      <c r="X410" s="713"/>
      <c r="Y410" s="713"/>
      <c r="Z410" s="713"/>
      <c r="AA410" s="713"/>
      <c r="AB410" s="713"/>
      <c r="AC410" s="713"/>
      <c r="AD410" s="713"/>
      <c r="AE410" s="713"/>
      <c r="AF410" s="713"/>
      <c r="AG410" s="713"/>
      <c r="AH410" s="713"/>
      <c r="AI410" s="713"/>
      <c r="AJ410" s="713"/>
      <c r="AK410" s="713"/>
      <c r="AL410" s="713"/>
      <c r="AM410" s="713"/>
      <c r="AN410" s="713"/>
      <c r="AO410" s="713"/>
      <c r="AP410" s="713"/>
      <c r="AQ410" s="715"/>
    </row>
    <row r="411" spans="1:43" s="707" customFormat="1" ht="12.75" customHeight="1" x14ac:dyDescent="0.25">
      <c r="A411" s="8"/>
      <c r="B411" s="8"/>
      <c r="C411" s="8"/>
      <c r="D411" s="8"/>
      <c r="E411" s="8"/>
      <c r="F411" s="8"/>
      <c r="G411" s="8"/>
      <c r="H411" s="8"/>
      <c r="I411" s="8"/>
      <c r="J411" s="1128"/>
      <c r="K411" s="1128"/>
      <c r="L411" s="1128"/>
      <c r="M411" s="1128"/>
      <c r="N411" s="1583" t="s">
        <v>464</v>
      </c>
      <c r="O411" s="1584"/>
      <c r="P411" s="1584"/>
      <c r="Q411" s="1585"/>
      <c r="R411" s="8"/>
      <c r="S411" s="8"/>
      <c r="T411" s="8"/>
      <c r="U411" s="8"/>
      <c r="V411" s="713"/>
      <c r="W411" s="713"/>
      <c r="X411" s="713"/>
      <c r="Y411" s="713"/>
      <c r="Z411" s="713"/>
      <c r="AA411" s="713"/>
      <c r="AB411" s="713"/>
      <c r="AC411" s="713"/>
      <c r="AD411" s="713"/>
      <c r="AE411" s="713"/>
      <c r="AF411" s="713"/>
      <c r="AG411" s="713"/>
      <c r="AH411" s="713"/>
      <c r="AI411" s="713"/>
      <c r="AJ411" s="713"/>
      <c r="AK411" s="713"/>
      <c r="AL411" s="713"/>
      <c r="AM411" s="713"/>
      <c r="AN411" s="713"/>
      <c r="AO411" s="713"/>
      <c r="AP411" s="713"/>
      <c r="AQ411" s="715"/>
    </row>
    <row r="412" spans="1:43" s="707" customFormat="1" ht="12.75" customHeight="1" x14ac:dyDescent="0.25">
      <c r="A412" s="8"/>
      <c r="B412" s="8"/>
      <c r="C412" s="11"/>
      <c r="D412" s="11"/>
      <c r="E412" s="11"/>
      <c r="F412" s="11"/>
      <c r="G412" s="11"/>
      <c r="H412" s="11"/>
      <c r="I412" s="8"/>
      <c r="J412" s="1128"/>
      <c r="K412" s="1128"/>
      <c r="L412" s="1128"/>
      <c r="M412" s="1128"/>
      <c r="N412" s="1501" t="s">
        <v>200</v>
      </c>
      <c r="O412" s="1502"/>
      <c r="P412" s="1503" t="s">
        <v>201</v>
      </c>
      <c r="Q412" s="1504"/>
      <c r="R412" s="8"/>
      <c r="S412" s="8"/>
      <c r="T412" s="8"/>
      <c r="U412" s="8"/>
      <c r="V412" s="713"/>
      <c r="W412" s="713"/>
      <c r="X412" s="713"/>
      <c r="Y412" s="713"/>
      <c r="Z412" s="713"/>
      <c r="AA412" s="713"/>
      <c r="AB412" s="713"/>
      <c r="AC412" s="713"/>
      <c r="AD412" s="713"/>
      <c r="AE412" s="713"/>
      <c r="AF412" s="713"/>
      <c r="AG412" s="713"/>
      <c r="AH412" s="713"/>
      <c r="AI412" s="713"/>
      <c r="AJ412" s="713"/>
      <c r="AK412" s="713"/>
      <c r="AL412" s="713"/>
      <c r="AM412" s="713"/>
      <c r="AN412" s="713"/>
      <c r="AO412" s="713"/>
      <c r="AP412" s="713"/>
      <c r="AQ412" s="715"/>
    </row>
    <row r="413" spans="1:43" s="707" customFormat="1" ht="12.75" customHeight="1" x14ac:dyDescent="0.25">
      <c r="A413" s="8"/>
      <c r="B413" s="8"/>
      <c r="C413" s="11" t="s">
        <v>146</v>
      </c>
      <c r="D413" s="11"/>
      <c r="E413" s="11"/>
      <c r="F413" s="11"/>
      <c r="G413" s="11"/>
      <c r="H413" s="11"/>
      <c r="I413" s="8"/>
      <c r="J413" s="1128"/>
      <c r="K413" s="1128"/>
      <c r="L413" s="1128"/>
      <c r="M413" s="1128"/>
      <c r="N413" s="1644"/>
      <c r="O413" s="1645"/>
      <c r="P413" s="1640"/>
      <c r="Q413" s="1641"/>
      <c r="R413" s="8"/>
      <c r="S413" s="8"/>
      <c r="T413" s="8"/>
      <c r="U413" s="8"/>
      <c r="V413" s="713"/>
      <c r="W413" s="713"/>
      <c r="X413" s="713"/>
      <c r="Y413" s="713"/>
      <c r="Z413" s="713"/>
      <c r="AA413" s="713"/>
      <c r="AB413" s="713"/>
      <c r="AC413" s="713"/>
      <c r="AD413" s="713"/>
      <c r="AE413" s="713"/>
      <c r="AF413" s="713"/>
      <c r="AG413" s="713"/>
      <c r="AH413" s="713"/>
      <c r="AI413" s="713"/>
      <c r="AJ413" s="713"/>
      <c r="AK413" s="713"/>
      <c r="AL413" s="713"/>
      <c r="AM413" s="713"/>
      <c r="AN413" s="713"/>
      <c r="AO413" s="713"/>
      <c r="AP413" s="713"/>
      <c r="AQ413" s="715"/>
    </row>
    <row r="414" spans="1:43" s="707" customFormat="1" ht="12.75" customHeight="1" x14ac:dyDescent="0.25">
      <c r="A414" s="8"/>
      <c r="B414" s="8"/>
      <c r="C414" s="11"/>
      <c r="D414" s="11" t="s">
        <v>245</v>
      </c>
      <c r="E414" s="11"/>
      <c r="F414" s="11"/>
      <c r="G414" s="11"/>
      <c r="H414" s="11"/>
      <c r="I414" s="8"/>
      <c r="J414" s="1128"/>
      <c r="K414" s="1128"/>
      <c r="L414" s="1128"/>
      <c r="M414" s="1128"/>
      <c r="N414" s="1985">
        <v>0</v>
      </c>
      <c r="O414" s="1986"/>
      <c r="P414" s="1987">
        <v>0</v>
      </c>
      <c r="Q414" s="1988"/>
      <c r="R414" s="8"/>
      <c r="S414" s="8"/>
      <c r="T414" s="8"/>
      <c r="U414" s="8"/>
      <c r="V414" s="713"/>
      <c r="W414" s="713"/>
      <c r="X414" s="713"/>
      <c r="Y414" s="713"/>
      <c r="Z414" s="713"/>
      <c r="AA414" s="713"/>
      <c r="AB414" s="713"/>
      <c r="AC414" s="713"/>
      <c r="AD414" s="713"/>
      <c r="AE414" s="713"/>
      <c r="AF414" s="713"/>
      <c r="AG414" s="713"/>
      <c r="AH414" s="713"/>
      <c r="AI414" s="713"/>
      <c r="AJ414" s="713"/>
      <c r="AK414" s="713"/>
      <c r="AL414" s="713"/>
      <c r="AM414" s="713"/>
      <c r="AN414" s="713"/>
      <c r="AO414" s="713"/>
      <c r="AP414" s="713"/>
      <c r="AQ414" s="715"/>
    </row>
    <row r="415" spans="1:43" s="707" customFormat="1" ht="12.75" customHeight="1" x14ac:dyDescent="0.25">
      <c r="A415" s="8"/>
      <c r="B415" s="8"/>
      <c r="C415" s="8"/>
      <c r="D415" s="8" t="s">
        <v>471</v>
      </c>
      <c r="E415" s="8"/>
      <c r="F415" s="8"/>
      <c r="G415" s="8"/>
      <c r="H415" s="8"/>
      <c r="I415" s="8"/>
      <c r="J415" s="1127" t="s">
        <v>154</v>
      </c>
      <c r="K415" s="1127"/>
      <c r="L415" s="1127"/>
      <c r="M415" s="1127"/>
      <c r="N415" s="1995">
        <v>0</v>
      </c>
      <c r="O415" s="1996"/>
      <c r="P415" s="1993">
        <v>0</v>
      </c>
      <c r="Q415" s="1994"/>
      <c r="R415" s="8"/>
      <c r="S415" s="8"/>
      <c r="T415" s="8"/>
      <c r="U415" s="8"/>
      <c r="V415" s="713"/>
      <c r="W415" s="713"/>
      <c r="X415" s="713"/>
      <c r="Y415" s="713"/>
      <c r="Z415" s="713"/>
      <c r="AA415" s="713"/>
      <c r="AB415" s="713"/>
      <c r="AC415" s="713"/>
      <c r="AD415" s="713"/>
      <c r="AE415" s="713"/>
      <c r="AF415" s="713"/>
      <c r="AG415" s="713"/>
      <c r="AH415" s="713"/>
      <c r="AI415" s="713"/>
      <c r="AJ415" s="713"/>
      <c r="AK415" s="713"/>
      <c r="AL415" s="713"/>
      <c r="AM415" s="713"/>
      <c r="AN415" s="713"/>
      <c r="AO415" s="713"/>
      <c r="AP415" s="713"/>
      <c r="AQ415" s="715"/>
    </row>
    <row r="416" spans="1:43" s="707" customFormat="1" ht="12.75" customHeight="1" x14ac:dyDescent="0.25">
      <c r="A416" s="8"/>
      <c r="B416" s="8"/>
      <c r="C416" s="8"/>
      <c r="D416" s="1129" t="s">
        <v>533</v>
      </c>
      <c r="E416" s="8"/>
      <c r="F416" s="8"/>
      <c r="G416" s="8"/>
      <c r="H416" s="8"/>
      <c r="I416" s="8"/>
      <c r="J416" s="1127" t="s">
        <v>154</v>
      </c>
      <c r="K416" s="1127"/>
      <c r="L416" s="1127"/>
      <c r="M416" s="1127"/>
      <c r="N416" s="1995">
        <v>0</v>
      </c>
      <c r="O416" s="1996"/>
      <c r="P416" s="1993">
        <v>0</v>
      </c>
      <c r="Q416" s="1994"/>
      <c r="R416" s="8"/>
      <c r="S416" s="8"/>
      <c r="T416" s="8"/>
      <c r="U416" s="8"/>
      <c r="V416" s="713"/>
      <c r="W416" s="713"/>
      <c r="X416" s="713"/>
      <c r="Y416" s="713"/>
      <c r="Z416" s="713"/>
      <c r="AA416" s="713"/>
      <c r="AB416" s="713"/>
      <c r="AC416" s="713"/>
      <c r="AD416" s="713"/>
      <c r="AE416" s="713"/>
      <c r="AF416" s="713"/>
      <c r="AG416" s="713"/>
      <c r="AH416" s="713"/>
      <c r="AI416" s="713"/>
      <c r="AJ416" s="713"/>
      <c r="AK416" s="713"/>
      <c r="AL416" s="713"/>
      <c r="AM416" s="713"/>
      <c r="AN416" s="713"/>
      <c r="AO416" s="713"/>
      <c r="AP416" s="713"/>
      <c r="AQ416" s="715"/>
    </row>
    <row r="417" spans="1:43" s="707" customFormat="1" ht="12.75" customHeight="1" x14ac:dyDescent="0.25">
      <c r="A417" s="8"/>
      <c r="B417" s="8"/>
      <c r="C417" s="8"/>
      <c r="D417" s="8" t="s">
        <v>306</v>
      </c>
      <c r="E417" s="8"/>
      <c r="F417" s="8"/>
      <c r="G417" s="8"/>
      <c r="H417" s="8"/>
      <c r="I417" s="8"/>
      <c r="J417" s="1127" t="s">
        <v>154</v>
      </c>
      <c r="K417" s="1127"/>
      <c r="L417" s="1127"/>
      <c r="M417" s="1127"/>
      <c r="N417" s="1995">
        <v>0</v>
      </c>
      <c r="O417" s="1996"/>
      <c r="P417" s="1993">
        <v>0</v>
      </c>
      <c r="Q417" s="1994"/>
      <c r="R417" s="8"/>
      <c r="S417" s="8"/>
      <c r="T417" s="8"/>
      <c r="U417" s="8"/>
      <c r="V417" s="713"/>
      <c r="W417" s="713"/>
      <c r="X417" s="713"/>
      <c r="Y417" s="713"/>
      <c r="Z417" s="713"/>
      <c r="AA417" s="713"/>
      <c r="AB417" s="713"/>
      <c r="AC417" s="713"/>
      <c r="AD417" s="713"/>
      <c r="AE417" s="713"/>
      <c r="AF417" s="713"/>
      <c r="AG417" s="713"/>
      <c r="AH417" s="713"/>
      <c r="AI417" s="713"/>
      <c r="AJ417" s="713"/>
      <c r="AK417" s="713"/>
      <c r="AL417" s="713"/>
      <c r="AM417" s="713"/>
      <c r="AN417" s="713"/>
      <c r="AO417" s="713"/>
      <c r="AP417" s="713"/>
      <c r="AQ417" s="715"/>
    </row>
    <row r="418" spans="1:43" s="707" customFormat="1" ht="12.75" customHeight="1" x14ac:dyDescent="0.25">
      <c r="A418" s="8"/>
      <c r="B418" s="8"/>
      <c r="C418" s="8"/>
      <c r="D418" s="8" t="s">
        <v>305</v>
      </c>
      <c r="E418" s="8"/>
      <c r="F418" s="8"/>
      <c r="G418" s="8"/>
      <c r="H418" s="8"/>
      <c r="I418" s="8"/>
      <c r="J418" s="1127" t="s">
        <v>154</v>
      </c>
      <c r="K418" s="1127"/>
      <c r="L418" s="1127"/>
      <c r="M418" s="1127"/>
      <c r="N418" s="1995">
        <v>0</v>
      </c>
      <c r="O418" s="1996"/>
      <c r="P418" s="1993">
        <v>0</v>
      </c>
      <c r="Q418" s="1994"/>
      <c r="R418" s="8"/>
      <c r="S418" s="8"/>
      <c r="T418" s="8"/>
      <c r="U418" s="8"/>
      <c r="V418" s="713"/>
      <c r="W418" s="713"/>
      <c r="X418" s="713"/>
      <c r="Y418" s="713"/>
      <c r="Z418" s="713"/>
      <c r="AA418" s="713"/>
      <c r="AB418" s="713"/>
      <c r="AC418" s="713"/>
      <c r="AD418" s="713"/>
      <c r="AE418" s="713"/>
      <c r="AF418" s="713"/>
      <c r="AG418" s="713"/>
      <c r="AH418" s="713"/>
      <c r="AI418" s="713"/>
      <c r="AJ418" s="713"/>
      <c r="AK418" s="713"/>
      <c r="AL418" s="713"/>
      <c r="AM418" s="713"/>
      <c r="AN418" s="713"/>
      <c r="AO418" s="713"/>
      <c r="AP418" s="713"/>
      <c r="AQ418" s="715"/>
    </row>
    <row r="419" spans="1:43" s="707" customFormat="1" ht="12.75" customHeight="1" x14ac:dyDescent="0.25">
      <c r="A419" s="8"/>
      <c r="B419" s="8"/>
      <c r="C419" s="8"/>
      <c r="D419" s="8"/>
      <c r="E419" s="8"/>
      <c r="F419" s="8"/>
      <c r="G419" s="8"/>
      <c r="H419" s="8"/>
      <c r="I419" s="8"/>
      <c r="J419" s="1127"/>
      <c r="K419" s="1127"/>
      <c r="L419" s="1127"/>
      <c r="M419" s="1127"/>
      <c r="N419" s="1413"/>
      <c r="O419" s="1414"/>
      <c r="P419" s="1415"/>
      <c r="Q419" s="1416"/>
      <c r="R419" s="8"/>
      <c r="S419" s="8"/>
      <c r="T419" s="8"/>
      <c r="U419" s="8"/>
      <c r="V419" s="713"/>
      <c r="W419" s="713"/>
      <c r="X419" s="713"/>
      <c r="Y419" s="713"/>
      <c r="Z419" s="713"/>
      <c r="AA419" s="713"/>
      <c r="AB419" s="713"/>
      <c r="AC419" s="713"/>
      <c r="AD419" s="713"/>
      <c r="AE419" s="713"/>
      <c r="AF419" s="713"/>
      <c r="AG419" s="713"/>
      <c r="AH419" s="713"/>
      <c r="AI419" s="713"/>
      <c r="AJ419" s="713"/>
      <c r="AK419" s="713"/>
      <c r="AL419" s="713"/>
      <c r="AM419" s="713"/>
      <c r="AN419" s="713"/>
      <c r="AO419" s="713"/>
      <c r="AP419" s="713"/>
      <c r="AQ419" s="715"/>
    </row>
    <row r="420" spans="1:43" s="707" customFormat="1" ht="12.75" customHeight="1" x14ac:dyDescent="0.25">
      <c r="A420" s="8"/>
      <c r="B420" s="8"/>
      <c r="C420" s="11" t="s">
        <v>147</v>
      </c>
      <c r="D420" s="8"/>
      <c r="E420" s="8"/>
      <c r="F420" s="8"/>
      <c r="G420" s="8"/>
      <c r="H420" s="8"/>
      <c r="I420" s="8"/>
      <c r="J420" s="1127"/>
      <c r="K420" s="1127"/>
      <c r="L420" s="1127"/>
      <c r="M420" s="1127"/>
      <c r="N420" s="1413"/>
      <c r="O420" s="1414"/>
      <c r="P420" s="1415"/>
      <c r="Q420" s="1416"/>
      <c r="R420" s="8"/>
      <c r="S420" s="8"/>
      <c r="T420" s="8"/>
      <c r="U420" s="8"/>
      <c r="V420" s="713"/>
      <c r="W420" s="713"/>
      <c r="X420" s="713"/>
      <c r="Y420" s="713"/>
      <c r="Z420" s="713"/>
      <c r="AA420" s="713"/>
      <c r="AB420" s="713"/>
      <c r="AC420" s="713"/>
      <c r="AD420" s="713"/>
      <c r="AE420" s="713"/>
      <c r="AF420" s="713"/>
      <c r="AG420" s="713"/>
      <c r="AH420" s="713"/>
      <c r="AI420" s="713"/>
      <c r="AJ420" s="713"/>
      <c r="AK420" s="713"/>
      <c r="AL420" s="713"/>
      <c r="AM420" s="713"/>
      <c r="AN420" s="713"/>
      <c r="AO420" s="713"/>
      <c r="AP420" s="713"/>
      <c r="AQ420" s="715"/>
    </row>
    <row r="421" spans="1:43" s="707" customFormat="1" ht="12.75" customHeight="1" x14ac:dyDescent="0.25">
      <c r="A421" s="8"/>
      <c r="B421" s="8"/>
      <c r="C421" s="8"/>
      <c r="D421" s="11" t="s">
        <v>245</v>
      </c>
      <c r="E421" s="11"/>
      <c r="F421" s="11"/>
      <c r="G421" s="11"/>
      <c r="H421" s="11"/>
      <c r="I421" s="8"/>
      <c r="J421" s="1128"/>
      <c r="K421" s="1128"/>
      <c r="L421" s="1128"/>
      <c r="M421" s="1128"/>
      <c r="N421" s="1995"/>
      <c r="O421" s="2019"/>
      <c r="P421" s="1987">
        <v>0</v>
      </c>
      <c r="Q421" s="1988"/>
      <c r="R421" s="8"/>
      <c r="S421" s="8"/>
      <c r="T421" s="8"/>
      <c r="U421" s="8"/>
      <c r="V421" s="713"/>
      <c r="W421" s="713"/>
      <c r="X421" s="713"/>
      <c r="Y421" s="713"/>
      <c r="Z421" s="713"/>
      <c r="AA421" s="713"/>
      <c r="AB421" s="713"/>
      <c r="AC421" s="713"/>
      <c r="AD421" s="713"/>
      <c r="AE421" s="713"/>
      <c r="AF421" s="713"/>
      <c r="AG421" s="713"/>
      <c r="AH421" s="713"/>
      <c r="AI421" s="713"/>
      <c r="AJ421" s="713"/>
      <c r="AK421" s="713"/>
      <c r="AL421" s="713"/>
      <c r="AM421" s="713"/>
      <c r="AN421" s="713"/>
      <c r="AO421" s="713"/>
      <c r="AP421" s="713"/>
      <c r="AQ421" s="715"/>
    </row>
    <row r="422" spans="1:43" s="707" customFormat="1" ht="12.75" customHeight="1" x14ac:dyDescent="0.25">
      <c r="A422" s="8"/>
      <c r="B422" s="8"/>
      <c r="C422" s="8"/>
      <c r="D422" s="8" t="s">
        <v>306</v>
      </c>
      <c r="E422" s="8"/>
      <c r="F422" s="8"/>
      <c r="G422" s="8"/>
      <c r="H422" s="8"/>
      <c r="I422" s="8"/>
      <c r="J422" s="1127" t="s">
        <v>154</v>
      </c>
      <c r="K422" s="1127"/>
      <c r="L422" s="1127"/>
      <c r="M422" s="1127"/>
      <c r="N422" s="1995">
        <v>0</v>
      </c>
      <c r="O422" s="1996"/>
      <c r="P422" s="1993">
        <v>0</v>
      </c>
      <c r="Q422" s="1994"/>
      <c r="R422" s="8"/>
      <c r="S422" s="8"/>
      <c r="T422" s="8"/>
      <c r="U422" s="8"/>
      <c r="V422" s="713"/>
      <c r="W422" s="713"/>
      <c r="X422" s="713"/>
      <c r="Y422" s="713"/>
      <c r="Z422" s="713"/>
      <c r="AA422" s="713"/>
      <c r="AB422" s="713"/>
      <c r="AC422" s="713"/>
      <c r="AD422" s="713"/>
      <c r="AE422" s="713"/>
      <c r="AF422" s="713"/>
      <c r="AG422" s="713"/>
      <c r="AH422" s="713"/>
      <c r="AI422" s="713"/>
      <c r="AJ422" s="713"/>
      <c r="AK422" s="713"/>
      <c r="AL422" s="713"/>
      <c r="AM422" s="713"/>
      <c r="AN422" s="713"/>
      <c r="AO422" s="713"/>
      <c r="AP422" s="713"/>
      <c r="AQ422" s="715"/>
    </row>
    <row r="423" spans="1:43" s="707" customFormat="1" ht="12.75" customHeight="1" x14ac:dyDescent="0.25">
      <c r="A423" s="8"/>
      <c r="B423" s="8"/>
      <c r="C423" s="8"/>
      <c r="D423" s="8" t="s">
        <v>305</v>
      </c>
      <c r="E423" s="8"/>
      <c r="F423" s="8"/>
      <c r="G423" s="8"/>
      <c r="H423" s="8"/>
      <c r="I423" s="8"/>
      <c r="J423" s="1127" t="s">
        <v>154</v>
      </c>
      <c r="K423" s="1127"/>
      <c r="L423" s="1127"/>
      <c r="M423" s="1127"/>
      <c r="N423" s="1995">
        <v>0</v>
      </c>
      <c r="O423" s="1996"/>
      <c r="P423" s="1993">
        <v>0</v>
      </c>
      <c r="Q423" s="1994"/>
      <c r="R423" s="8"/>
      <c r="S423" s="8"/>
      <c r="T423" s="8"/>
      <c r="U423" s="8"/>
      <c r="V423" s="713"/>
      <c r="W423" s="713"/>
      <c r="X423" s="713"/>
      <c r="Y423" s="713"/>
      <c r="Z423" s="713"/>
      <c r="AA423" s="713"/>
      <c r="AB423" s="713"/>
      <c r="AC423" s="713"/>
      <c r="AD423" s="713"/>
      <c r="AE423" s="713"/>
      <c r="AF423" s="713"/>
      <c r="AG423" s="713"/>
      <c r="AH423" s="713"/>
      <c r="AI423" s="713"/>
      <c r="AJ423" s="713"/>
      <c r="AK423" s="713"/>
      <c r="AL423" s="713"/>
      <c r="AM423" s="713"/>
      <c r="AN423" s="713"/>
      <c r="AO423" s="713"/>
      <c r="AP423" s="713"/>
      <c r="AQ423" s="715"/>
    </row>
    <row r="424" spans="1:43" s="707" customFormat="1" ht="12.75" customHeight="1" x14ac:dyDescent="0.25">
      <c r="A424" s="8"/>
      <c r="B424" s="8"/>
      <c r="C424" s="8"/>
      <c r="D424" s="1634" t="s">
        <v>534</v>
      </c>
      <c r="E424" s="1634"/>
      <c r="F424" s="1634"/>
      <c r="G424" s="1634"/>
      <c r="H424" s="1634"/>
      <c r="I424" s="1634"/>
      <c r="J424" s="1127" t="s">
        <v>154</v>
      </c>
      <c r="K424" s="1127"/>
      <c r="L424" s="1127"/>
      <c r="M424" s="1127"/>
      <c r="N424" s="1995">
        <v>0</v>
      </c>
      <c r="O424" s="1996"/>
      <c r="P424" s="1993">
        <v>0</v>
      </c>
      <c r="Q424" s="1994"/>
      <c r="R424" s="29"/>
      <c r="S424" s="8"/>
      <c r="T424" s="8"/>
      <c r="U424" s="8"/>
      <c r="V424" s="713"/>
      <c r="W424" s="713"/>
      <c r="X424" s="713"/>
      <c r="Y424" s="713"/>
      <c r="Z424" s="713"/>
      <c r="AA424" s="713"/>
      <c r="AB424" s="713"/>
      <c r="AC424" s="713"/>
      <c r="AD424" s="713"/>
      <c r="AE424" s="713"/>
      <c r="AF424" s="713"/>
      <c r="AG424" s="713"/>
      <c r="AH424" s="713"/>
      <c r="AI424" s="713"/>
      <c r="AJ424" s="713"/>
      <c r="AK424" s="713"/>
      <c r="AL424" s="713"/>
      <c r="AM424" s="713"/>
      <c r="AN424" s="713"/>
      <c r="AO424" s="713"/>
      <c r="AP424" s="713"/>
      <c r="AQ424" s="715"/>
    </row>
    <row r="425" spans="1:43" s="707" customFormat="1" ht="12.75" customHeight="1" x14ac:dyDescent="0.25">
      <c r="A425" s="756"/>
      <c r="B425" s="8"/>
      <c r="C425" s="8"/>
      <c r="D425" s="1634" t="s">
        <v>535</v>
      </c>
      <c r="E425" s="1634"/>
      <c r="F425" s="1634"/>
      <c r="G425" s="1634"/>
      <c r="H425" s="1634"/>
      <c r="I425" s="1634"/>
      <c r="J425" s="1127" t="s">
        <v>154</v>
      </c>
      <c r="K425" s="1127"/>
      <c r="L425" s="1127"/>
      <c r="M425" s="1127"/>
      <c r="N425" s="1995"/>
      <c r="O425" s="1996"/>
      <c r="P425" s="1993">
        <v>0</v>
      </c>
      <c r="Q425" s="1994"/>
      <c r="R425" s="8"/>
      <c r="S425" s="8"/>
      <c r="T425" s="8"/>
      <c r="U425" s="8"/>
      <c r="V425" s="713"/>
      <c r="W425" s="713"/>
      <c r="X425" s="713"/>
      <c r="Y425" s="713"/>
      <c r="Z425" s="713"/>
      <c r="AA425" s="713"/>
      <c r="AB425" s="713"/>
      <c r="AC425" s="713"/>
      <c r="AD425" s="713"/>
      <c r="AE425" s="713"/>
      <c r="AF425" s="713"/>
      <c r="AG425" s="713"/>
      <c r="AH425" s="713"/>
      <c r="AI425" s="713"/>
      <c r="AJ425" s="713"/>
      <c r="AK425" s="713"/>
      <c r="AL425" s="713"/>
      <c r="AM425" s="713"/>
      <c r="AN425" s="713"/>
      <c r="AO425" s="713"/>
      <c r="AP425" s="713"/>
      <c r="AQ425" s="715"/>
    </row>
    <row r="426" spans="1:43" s="707" customFormat="1" ht="12.75" customHeight="1" x14ac:dyDescent="0.25">
      <c r="A426" s="8"/>
      <c r="B426" s="8"/>
      <c r="C426" s="8"/>
      <c r="D426" s="8"/>
      <c r="E426" s="8"/>
      <c r="F426" s="8"/>
      <c r="G426" s="8"/>
      <c r="H426" s="8"/>
      <c r="I426" s="8"/>
      <c r="J426" s="1127"/>
      <c r="K426" s="1127"/>
      <c r="L426" s="1127"/>
      <c r="M426" s="1127"/>
      <c r="N426" s="1413"/>
      <c r="O426" s="1414"/>
      <c r="P426" s="1415"/>
      <c r="Q426" s="1416"/>
      <c r="R426" s="8"/>
      <c r="S426" s="8"/>
      <c r="T426" s="8"/>
      <c r="U426" s="8"/>
      <c r="V426" s="713"/>
      <c r="W426" s="713"/>
      <c r="X426" s="713"/>
      <c r="Y426" s="713"/>
      <c r="Z426" s="713"/>
      <c r="AA426" s="713"/>
      <c r="AB426" s="713"/>
      <c r="AC426" s="713"/>
      <c r="AD426" s="713"/>
      <c r="AE426" s="713"/>
      <c r="AF426" s="713"/>
      <c r="AG426" s="713"/>
      <c r="AH426" s="713"/>
      <c r="AI426" s="713"/>
      <c r="AJ426" s="713"/>
      <c r="AK426" s="713"/>
      <c r="AL426" s="713"/>
      <c r="AM426" s="713"/>
      <c r="AN426" s="713"/>
      <c r="AO426" s="713"/>
      <c r="AP426" s="713"/>
      <c r="AQ426" s="715"/>
    </row>
    <row r="427" spans="1:43" s="707" customFormat="1" ht="12.75" customHeight="1" x14ac:dyDescent="0.25">
      <c r="A427" s="8"/>
      <c r="B427" s="8"/>
      <c r="C427" s="11" t="s">
        <v>186</v>
      </c>
      <c r="D427" s="11"/>
      <c r="E427" s="11"/>
      <c r="F427" s="11"/>
      <c r="G427" s="11"/>
      <c r="H427" s="11"/>
      <c r="I427" s="8"/>
      <c r="J427" s="747"/>
      <c r="K427" s="747"/>
      <c r="L427" s="747"/>
      <c r="M427" s="747"/>
      <c r="N427" s="1989"/>
      <c r="O427" s="1990"/>
      <c r="P427" s="1991"/>
      <c r="Q427" s="1992"/>
      <c r="R427" s="8"/>
      <c r="S427" s="8"/>
      <c r="T427" s="8"/>
      <c r="U427" s="8"/>
      <c r="V427" s="713"/>
      <c r="W427" s="713"/>
      <c r="X427" s="713"/>
      <c r="Y427" s="713"/>
      <c r="Z427" s="713"/>
      <c r="AA427" s="713"/>
      <c r="AB427" s="713"/>
      <c r="AC427" s="713"/>
      <c r="AD427" s="713"/>
      <c r="AE427" s="713"/>
      <c r="AF427" s="713"/>
      <c r="AG427" s="713"/>
      <c r="AH427" s="713"/>
      <c r="AI427" s="713"/>
      <c r="AJ427" s="713"/>
      <c r="AK427" s="713"/>
      <c r="AL427" s="713"/>
      <c r="AM427" s="713"/>
      <c r="AN427" s="713"/>
      <c r="AO427" s="713"/>
      <c r="AP427" s="713"/>
      <c r="AQ427" s="715"/>
    </row>
    <row r="428" spans="1:43" s="707" customFormat="1" ht="12.75" customHeight="1" x14ac:dyDescent="0.25">
      <c r="A428" s="8"/>
      <c r="B428" s="8"/>
      <c r="C428" s="8"/>
      <c r="D428" s="8" t="s">
        <v>472</v>
      </c>
      <c r="E428" s="8"/>
      <c r="F428" s="8"/>
      <c r="G428" s="8"/>
      <c r="H428" s="8"/>
      <c r="I428" s="8"/>
      <c r="J428" s="1127" t="s">
        <v>614</v>
      </c>
      <c r="K428" s="1127"/>
      <c r="L428" s="1127"/>
      <c r="M428" s="1127"/>
      <c r="N428" s="2001">
        <v>0</v>
      </c>
      <c r="O428" s="2002"/>
      <c r="P428" s="2003">
        <v>0</v>
      </c>
      <c r="Q428" s="2004"/>
      <c r="R428" s="8"/>
      <c r="S428" s="8"/>
      <c r="T428" s="8"/>
      <c r="U428" s="8"/>
      <c r="V428" s="713"/>
      <c r="W428" s="713"/>
      <c r="X428" s="713"/>
      <c r="Y428" s="713"/>
      <c r="Z428" s="713"/>
      <c r="AA428" s="713"/>
      <c r="AB428" s="713"/>
      <c r="AC428" s="713"/>
      <c r="AD428" s="713"/>
      <c r="AE428" s="713"/>
      <c r="AF428" s="713"/>
      <c r="AG428" s="713"/>
      <c r="AH428" s="713"/>
      <c r="AI428" s="713"/>
      <c r="AJ428" s="713"/>
      <c r="AK428" s="713"/>
      <c r="AL428" s="713"/>
      <c r="AM428" s="713"/>
      <c r="AN428" s="713"/>
      <c r="AO428" s="713"/>
      <c r="AP428" s="713"/>
      <c r="AQ428" s="715"/>
    </row>
    <row r="429" spans="1:43" s="707" customFormat="1" ht="12.75" customHeight="1" x14ac:dyDescent="0.25">
      <c r="A429" s="8"/>
      <c r="B429" s="8"/>
      <c r="C429" s="8"/>
      <c r="D429" s="8" t="s">
        <v>473</v>
      </c>
      <c r="E429" s="8"/>
      <c r="F429" s="8"/>
      <c r="G429" s="8"/>
      <c r="H429" s="8"/>
      <c r="I429" s="8"/>
      <c r="J429" s="1127" t="s">
        <v>16</v>
      </c>
      <c r="K429" s="1127"/>
      <c r="L429" s="1127"/>
      <c r="M429" s="1127"/>
      <c r="N429" s="1417"/>
      <c r="O429" s="1414"/>
      <c r="P429" s="2017">
        <v>0</v>
      </c>
      <c r="Q429" s="2018"/>
      <c r="R429" s="8"/>
      <c r="S429" s="8"/>
      <c r="T429" s="8"/>
      <c r="U429" s="8"/>
      <c r="V429" s="713"/>
      <c r="W429" s="713"/>
      <c r="X429" s="713"/>
      <c r="Y429" s="713"/>
      <c r="Z429" s="713"/>
      <c r="AA429" s="713"/>
      <c r="AB429" s="713"/>
      <c r="AC429" s="713"/>
      <c r="AD429" s="713"/>
      <c r="AE429" s="713"/>
      <c r="AF429" s="713"/>
      <c r="AG429" s="713"/>
      <c r="AH429" s="713"/>
      <c r="AI429" s="713"/>
      <c r="AJ429" s="713"/>
      <c r="AK429" s="713"/>
      <c r="AL429" s="713"/>
      <c r="AM429" s="713"/>
      <c r="AN429" s="713"/>
      <c r="AO429" s="713"/>
      <c r="AP429" s="713"/>
      <c r="AQ429" s="715"/>
    </row>
    <row r="430" spans="1:43" s="707" customFormat="1" ht="12.75" customHeight="1" x14ac:dyDescent="0.25">
      <c r="A430" s="8"/>
      <c r="B430" s="8"/>
      <c r="C430" s="8"/>
      <c r="D430" s="8" t="s">
        <v>276</v>
      </c>
      <c r="E430" s="8"/>
      <c r="F430" s="8"/>
      <c r="G430" s="8"/>
      <c r="H430" s="8"/>
      <c r="I430" s="8"/>
      <c r="J430" s="1127" t="s">
        <v>614</v>
      </c>
      <c r="K430" s="1127"/>
      <c r="L430" s="1127"/>
      <c r="M430" s="1127"/>
      <c r="N430" s="2001">
        <v>0</v>
      </c>
      <c r="O430" s="2002"/>
      <c r="P430" s="2003">
        <v>0</v>
      </c>
      <c r="Q430" s="2004"/>
      <c r="R430" s="8"/>
      <c r="S430" s="8"/>
      <c r="T430" s="8"/>
      <c r="U430" s="8"/>
      <c r="V430" s="713"/>
      <c r="W430" s="713"/>
      <c r="X430" s="713"/>
      <c r="Y430" s="713"/>
      <c r="Z430" s="713"/>
      <c r="AA430" s="713"/>
      <c r="AB430" s="713"/>
      <c r="AC430" s="713"/>
      <c r="AD430" s="713"/>
      <c r="AE430" s="713"/>
      <c r="AF430" s="713"/>
      <c r="AG430" s="713"/>
      <c r="AH430" s="713"/>
      <c r="AI430" s="713"/>
      <c r="AJ430" s="713"/>
      <c r="AK430" s="713"/>
      <c r="AL430" s="713"/>
      <c r="AM430" s="713"/>
      <c r="AN430" s="713"/>
      <c r="AO430" s="713"/>
      <c r="AP430" s="713"/>
      <c r="AQ430" s="715"/>
    </row>
    <row r="431" spans="1:43" s="707" customFormat="1" ht="12.75" customHeight="1" x14ac:dyDescent="0.25">
      <c r="A431" s="8"/>
      <c r="B431" s="8"/>
      <c r="C431" s="8"/>
      <c r="D431" s="8" t="s">
        <v>307</v>
      </c>
      <c r="E431" s="8"/>
      <c r="F431" s="8"/>
      <c r="G431" s="8"/>
      <c r="H431" s="8"/>
      <c r="I431" s="8"/>
      <c r="J431" s="1127" t="s">
        <v>614</v>
      </c>
      <c r="K431" s="1127"/>
      <c r="L431" s="1127"/>
      <c r="M431" s="1127"/>
      <c r="N431" s="2001">
        <v>0</v>
      </c>
      <c r="O431" s="2002"/>
      <c r="P431" s="2003">
        <v>0</v>
      </c>
      <c r="Q431" s="2004"/>
      <c r="R431" s="8"/>
      <c r="S431" s="8"/>
      <c r="T431" s="8"/>
      <c r="U431" s="8"/>
      <c r="V431" s="713"/>
      <c r="W431" s="713"/>
      <c r="X431" s="713"/>
      <c r="Y431" s="713"/>
      <c r="Z431" s="713"/>
      <c r="AA431" s="713"/>
      <c r="AB431" s="713"/>
      <c r="AC431" s="713"/>
      <c r="AD431" s="713"/>
      <c r="AE431" s="713"/>
      <c r="AF431" s="713"/>
      <c r="AG431" s="713"/>
      <c r="AH431" s="713"/>
      <c r="AI431" s="713"/>
      <c r="AJ431" s="713"/>
      <c r="AK431" s="713"/>
      <c r="AL431" s="713"/>
      <c r="AM431" s="713"/>
      <c r="AN431" s="713"/>
      <c r="AO431" s="713"/>
      <c r="AP431" s="713"/>
      <c r="AQ431" s="715"/>
    </row>
    <row r="432" spans="1:43" s="707" customFormat="1" ht="12.75" customHeight="1" x14ac:dyDescent="0.25">
      <c r="A432" s="8"/>
      <c r="B432" s="8"/>
      <c r="C432" s="8"/>
      <c r="D432" s="8"/>
      <c r="E432" s="8"/>
      <c r="F432" s="8"/>
      <c r="G432" s="8"/>
      <c r="H432" s="8"/>
      <c r="I432" s="8"/>
      <c r="J432" s="1127"/>
      <c r="K432" s="1127"/>
      <c r="L432" s="1127"/>
      <c r="M432" s="1127"/>
      <c r="N432" s="1417"/>
      <c r="O432" s="1418"/>
      <c r="P432" s="1419"/>
      <c r="Q432" s="1420"/>
      <c r="R432" s="8"/>
      <c r="S432" s="8"/>
      <c r="T432" s="8"/>
      <c r="U432" s="8"/>
      <c r="V432" s="713"/>
      <c r="W432" s="713"/>
      <c r="X432" s="713"/>
      <c r="Y432" s="713"/>
      <c r="Z432" s="713"/>
      <c r="AA432" s="713"/>
      <c r="AB432" s="713"/>
      <c r="AC432" s="713"/>
      <c r="AD432" s="713"/>
      <c r="AE432" s="713"/>
      <c r="AF432" s="713"/>
      <c r="AG432" s="713"/>
      <c r="AH432" s="713"/>
      <c r="AI432" s="713"/>
      <c r="AJ432" s="713"/>
      <c r="AK432" s="713"/>
      <c r="AL432" s="713"/>
      <c r="AM432" s="713"/>
      <c r="AN432" s="713"/>
      <c r="AO432" s="713"/>
      <c r="AP432" s="713"/>
      <c r="AQ432" s="715"/>
    </row>
    <row r="433" spans="1:45" s="707" customFormat="1" ht="12.75" customHeight="1" x14ac:dyDescent="0.25">
      <c r="A433" s="8"/>
      <c r="B433" s="8"/>
      <c r="C433" s="11" t="s">
        <v>148</v>
      </c>
      <c r="D433" s="11"/>
      <c r="E433" s="11"/>
      <c r="F433" s="11"/>
      <c r="G433" s="11"/>
      <c r="H433" s="11"/>
      <c r="I433" s="8"/>
      <c r="J433" s="747"/>
      <c r="K433" s="747"/>
      <c r="L433" s="747"/>
      <c r="M433" s="747"/>
      <c r="N433" s="1989"/>
      <c r="O433" s="1990"/>
      <c r="P433" s="1991"/>
      <c r="Q433" s="1992"/>
      <c r="R433" s="8"/>
      <c r="S433" s="8"/>
      <c r="T433" s="8"/>
      <c r="U433" s="8"/>
      <c r="V433" s="713"/>
      <c r="W433" s="713"/>
      <c r="X433" s="713"/>
      <c r="Y433" s="713"/>
      <c r="Z433" s="713"/>
      <c r="AA433" s="713"/>
      <c r="AB433" s="713"/>
      <c r="AC433" s="713"/>
      <c r="AD433" s="713"/>
      <c r="AE433" s="713"/>
      <c r="AF433" s="713"/>
      <c r="AG433" s="713"/>
      <c r="AH433" s="713"/>
      <c r="AI433" s="713"/>
      <c r="AJ433" s="713"/>
      <c r="AK433" s="713"/>
      <c r="AL433" s="713"/>
      <c r="AM433" s="713"/>
      <c r="AN433" s="713"/>
      <c r="AO433" s="713"/>
      <c r="AP433" s="713"/>
      <c r="AQ433" s="715"/>
    </row>
    <row r="434" spans="1:45" s="711" customFormat="1" ht="12.75" customHeight="1" x14ac:dyDescent="0.25">
      <c r="A434" s="710"/>
      <c r="B434" s="8"/>
      <c r="C434" s="8"/>
      <c r="D434" s="8"/>
      <c r="E434" s="1411" t="s">
        <v>629</v>
      </c>
      <c r="F434" s="8"/>
      <c r="G434" s="8"/>
      <c r="H434" s="8"/>
      <c r="I434" s="8"/>
      <c r="J434" s="1409" t="s">
        <v>617</v>
      </c>
      <c r="K434" s="1409"/>
      <c r="L434" s="1409"/>
      <c r="M434" s="1409"/>
      <c r="N434" s="1967">
        <v>0</v>
      </c>
      <c r="O434" s="1968"/>
      <c r="P434" s="1969">
        <v>0</v>
      </c>
      <c r="Q434" s="1970"/>
      <c r="R434" s="8"/>
      <c r="S434" s="8"/>
      <c r="T434" s="8"/>
      <c r="U434" s="8"/>
      <c r="V434" s="713"/>
      <c r="W434" s="713"/>
      <c r="X434" s="713"/>
      <c r="Y434" s="713"/>
      <c r="Z434" s="713"/>
      <c r="AA434" s="713"/>
      <c r="AB434" s="713"/>
      <c r="AC434" s="713"/>
      <c r="AD434" s="713"/>
      <c r="AE434" s="713"/>
      <c r="AF434" s="713"/>
      <c r="AG434" s="713"/>
      <c r="AH434" s="713"/>
      <c r="AI434" s="713"/>
      <c r="AJ434" s="713"/>
      <c r="AK434" s="713"/>
      <c r="AL434" s="713"/>
      <c r="AM434" s="713"/>
      <c r="AN434" s="713"/>
      <c r="AO434" s="713"/>
      <c r="AP434" s="714"/>
      <c r="AQ434" s="715"/>
      <c r="AR434" s="707"/>
      <c r="AS434" s="707"/>
    </row>
    <row r="435" spans="1:45" s="711" customFormat="1" ht="12.75" customHeight="1" x14ac:dyDescent="0.25">
      <c r="A435" s="710"/>
      <c r="B435" s="8"/>
      <c r="C435" s="8"/>
      <c r="D435" s="8"/>
      <c r="E435" s="1411" t="s">
        <v>630</v>
      </c>
      <c r="F435" s="8"/>
      <c r="G435" s="8"/>
      <c r="H435" s="8"/>
      <c r="I435" s="8"/>
      <c r="J435" s="1409" t="s">
        <v>617</v>
      </c>
      <c r="K435" s="1409"/>
      <c r="L435" s="1409"/>
      <c r="M435" s="1409"/>
      <c r="N435" s="1967">
        <v>0</v>
      </c>
      <c r="O435" s="1968"/>
      <c r="P435" s="1969">
        <v>0</v>
      </c>
      <c r="Q435" s="1970"/>
      <c r="R435" s="8"/>
      <c r="S435" s="8"/>
      <c r="T435" s="8"/>
      <c r="U435" s="8"/>
      <c r="V435" s="713"/>
      <c r="W435" s="713"/>
      <c r="X435" s="713"/>
      <c r="Y435" s="713"/>
      <c r="Z435" s="713"/>
      <c r="AA435" s="713"/>
      <c r="AB435" s="713"/>
      <c r="AC435" s="713"/>
      <c r="AD435" s="713"/>
      <c r="AE435" s="713"/>
      <c r="AF435" s="713"/>
      <c r="AG435" s="713"/>
      <c r="AH435" s="713"/>
      <c r="AI435" s="713"/>
      <c r="AJ435" s="713"/>
      <c r="AK435" s="713"/>
      <c r="AL435" s="713"/>
      <c r="AM435" s="713"/>
      <c r="AN435" s="713"/>
      <c r="AO435" s="713"/>
      <c r="AP435" s="714"/>
      <c r="AQ435" s="715"/>
      <c r="AR435" s="707"/>
      <c r="AS435" s="707"/>
    </row>
    <row r="436" spans="1:45" s="711" customFormat="1" ht="12.75" customHeight="1" x14ac:dyDescent="0.25">
      <c r="A436" s="710"/>
      <c r="B436" s="8"/>
      <c r="C436" s="8"/>
      <c r="D436" s="8"/>
      <c r="E436" s="1411" t="s">
        <v>631</v>
      </c>
      <c r="F436" s="8"/>
      <c r="G436" s="8"/>
      <c r="H436" s="8"/>
      <c r="I436" s="8"/>
      <c r="J436" s="1409" t="s">
        <v>617</v>
      </c>
      <c r="K436" s="1409"/>
      <c r="L436" s="1409"/>
      <c r="M436" s="1409"/>
      <c r="N436" s="1967">
        <v>0</v>
      </c>
      <c r="O436" s="1968"/>
      <c r="P436" s="1969">
        <v>0</v>
      </c>
      <c r="Q436" s="1970"/>
      <c r="R436" s="8"/>
      <c r="S436" s="8"/>
      <c r="T436" s="8"/>
      <c r="U436" s="8"/>
      <c r="V436" s="713"/>
      <c r="W436" s="713"/>
      <c r="X436" s="713"/>
      <c r="Y436" s="713"/>
      <c r="Z436" s="713"/>
      <c r="AA436" s="713"/>
      <c r="AB436" s="713"/>
      <c r="AC436" s="713"/>
      <c r="AD436" s="713"/>
      <c r="AE436" s="713"/>
      <c r="AF436" s="713"/>
      <c r="AG436" s="713"/>
      <c r="AH436" s="713"/>
      <c r="AI436" s="713"/>
      <c r="AJ436" s="713"/>
      <c r="AK436" s="713"/>
      <c r="AL436" s="713"/>
      <c r="AM436" s="713"/>
      <c r="AN436" s="713"/>
      <c r="AO436" s="713"/>
      <c r="AP436" s="714"/>
      <c r="AQ436" s="715"/>
      <c r="AR436" s="707"/>
      <c r="AS436" s="707"/>
    </row>
    <row r="437" spans="1:45" s="711" customFormat="1" ht="12.75" customHeight="1" x14ac:dyDescent="0.25">
      <c r="A437" s="710"/>
      <c r="B437" s="11"/>
      <c r="C437" s="11"/>
      <c r="D437" s="11" t="s">
        <v>632</v>
      </c>
      <c r="E437" s="11"/>
      <c r="F437" s="11"/>
      <c r="G437" s="11"/>
      <c r="H437" s="11"/>
      <c r="I437" s="11"/>
      <c r="J437" s="1410" t="s">
        <v>617</v>
      </c>
      <c r="K437" s="1410"/>
      <c r="L437" s="1410"/>
      <c r="M437" s="1410"/>
      <c r="N437" s="1971">
        <v>0</v>
      </c>
      <c r="O437" s="1972"/>
      <c r="P437" s="1973">
        <v>0</v>
      </c>
      <c r="Q437" s="1974"/>
      <c r="R437" s="11"/>
      <c r="S437" s="11"/>
      <c r="T437" s="11"/>
      <c r="U437" s="11"/>
      <c r="V437" s="714"/>
      <c r="W437" s="714"/>
      <c r="X437" s="714"/>
      <c r="Y437" s="714"/>
      <c r="Z437" s="714"/>
      <c r="AA437" s="714"/>
      <c r="AB437" s="714"/>
      <c r="AC437" s="714"/>
      <c r="AD437" s="714"/>
      <c r="AE437" s="714"/>
      <c r="AF437" s="714"/>
      <c r="AG437" s="714"/>
      <c r="AH437" s="714"/>
      <c r="AI437" s="714"/>
      <c r="AJ437" s="714"/>
      <c r="AK437" s="714"/>
      <c r="AL437" s="714"/>
      <c r="AM437" s="714"/>
      <c r="AN437" s="714"/>
      <c r="AO437" s="714"/>
      <c r="AP437" s="714"/>
      <c r="AQ437" s="1412"/>
    </row>
    <row r="438" spans="1:45" s="711" customFormat="1" ht="12.75" customHeight="1" x14ac:dyDescent="0.25">
      <c r="A438" s="710"/>
      <c r="B438" s="8"/>
      <c r="C438" s="8"/>
      <c r="D438" s="8" t="s">
        <v>628</v>
      </c>
      <c r="E438" s="8"/>
      <c r="F438" s="8"/>
      <c r="G438" s="8"/>
      <c r="H438" s="8"/>
      <c r="I438" s="8"/>
      <c r="J438" s="1409" t="s">
        <v>16</v>
      </c>
      <c r="K438" s="1409"/>
      <c r="L438" s="1409"/>
      <c r="M438" s="1409"/>
      <c r="N438" s="1421"/>
      <c r="O438" s="1422"/>
      <c r="P438" s="2024">
        <v>0</v>
      </c>
      <c r="Q438" s="2025"/>
      <c r="R438" s="8"/>
      <c r="S438" s="8"/>
      <c r="T438" s="8"/>
      <c r="U438" s="8"/>
      <c r="V438" s="713"/>
      <c r="W438" s="713"/>
      <c r="X438" s="713"/>
      <c r="Y438" s="713"/>
      <c r="Z438" s="713"/>
      <c r="AA438" s="713"/>
      <c r="AB438" s="713"/>
      <c r="AC438" s="713"/>
      <c r="AD438" s="713"/>
      <c r="AE438" s="713"/>
      <c r="AF438" s="713"/>
      <c r="AG438" s="713"/>
      <c r="AH438" s="713"/>
      <c r="AI438" s="713"/>
      <c r="AJ438" s="713"/>
      <c r="AK438" s="713"/>
      <c r="AL438" s="713"/>
      <c r="AM438" s="713"/>
      <c r="AN438" s="713"/>
      <c r="AO438" s="713"/>
      <c r="AP438" s="714"/>
      <c r="AQ438" s="715"/>
      <c r="AR438" s="707"/>
      <c r="AS438" s="707"/>
    </row>
    <row r="439" spans="1:45" s="707" customFormat="1" ht="12.75" customHeight="1" x14ac:dyDescent="0.25">
      <c r="A439" s="8"/>
      <c r="B439" s="8"/>
      <c r="C439" s="8"/>
      <c r="D439" s="1634" t="s">
        <v>536</v>
      </c>
      <c r="E439" s="1634"/>
      <c r="F439" s="1634"/>
      <c r="G439" s="1634"/>
      <c r="H439" s="1634"/>
      <c r="I439" s="1634"/>
      <c r="J439" s="1127" t="s">
        <v>366</v>
      </c>
      <c r="K439" s="1127"/>
      <c r="L439" s="1127"/>
      <c r="M439" s="1127"/>
      <c r="N439" s="2020">
        <v>0</v>
      </c>
      <c r="O439" s="2021"/>
      <c r="P439" s="2022">
        <v>0</v>
      </c>
      <c r="Q439" s="2023"/>
      <c r="R439" s="8"/>
      <c r="S439" s="8"/>
      <c r="T439" s="8"/>
      <c r="U439" s="8"/>
      <c r="V439" s="713"/>
      <c r="W439" s="713"/>
      <c r="X439" s="713"/>
      <c r="Y439" s="713"/>
      <c r="Z439" s="713"/>
      <c r="AA439" s="713"/>
      <c r="AB439" s="713"/>
      <c r="AC439" s="713"/>
      <c r="AD439" s="713"/>
      <c r="AE439" s="713"/>
      <c r="AF439" s="713"/>
      <c r="AG439" s="713"/>
      <c r="AH439" s="713"/>
      <c r="AI439" s="713"/>
      <c r="AJ439" s="713"/>
      <c r="AK439" s="713"/>
      <c r="AL439" s="713"/>
      <c r="AM439" s="713"/>
      <c r="AN439" s="713"/>
      <c r="AO439" s="713"/>
      <c r="AP439" s="713"/>
      <c r="AQ439" s="715"/>
    </row>
    <row r="440" spans="1:45" s="711" customFormat="1" ht="12.75" customHeight="1" x14ac:dyDescent="0.25">
      <c r="A440" s="710"/>
      <c r="B440" s="707"/>
      <c r="C440" s="707"/>
      <c r="F440" s="712"/>
      <c r="G440" s="712"/>
      <c r="H440" s="712"/>
      <c r="I440" s="712"/>
      <c r="J440" s="713"/>
      <c r="K440" s="713"/>
      <c r="L440" s="713"/>
      <c r="M440" s="713"/>
      <c r="N440" s="713"/>
      <c r="O440" s="713"/>
      <c r="P440" s="713"/>
      <c r="Q440" s="713"/>
      <c r="R440" s="713"/>
      <c r="S440" s="713"/>
      <c r="T440" s="713"/>
      <c r="U440" s="713"/>
      <c r="V440" s="713"/>
      <c r="W440" s="713"/>
      <c r="X440" s="713"/>
      <c r="Y440" s="713"/>
      <c r="Z440" s="713"/>
      <c r="AA440" s="713"/>
      <c r="AB440" s="713"/>
      <c r="AC440" s="713"/>
      <c r="AD440" s="713"/>
      <c r="AE440" s="713"/>
      <c r="AF440" s="713"/>
      <c r="AG440" s="713"/>
      <c r="AH440" s="713"/>
      <c r="AI440" s="713"/>
      <c r="AJ440" s="713"/>
      <c r="AK440" s="713"/>
      <c r="AL440" s="713"/>
      <c r="AM440" s="713"/>
      <c r="AN440" s="713"/>
      <c r="AO440" s="713"/>
      <c r="AP440" s="714"/>
      <c r="AQ440" s="715"/>
      <c r="AR440" s="707"/>
      <c r="AS440" s="707"/>
    </row>
    <row r="441" spans="1:45" s="711" customFormat="1" ht="12.75" customHeight="1" x14ac:dyDescent="0.25">
      <c r="A441" s="710"/>
      <c r="B441" s="707"/>
      <c r="C441" s="707"/>
      <c r="F441" s="712"/>
      <c r="G441" s="712"/>
      <c r="H441" s="712"/>
      <c r="I441" s="712"/>
      <c r="J441" s="713"/>
      <c r="K441" s="713"/>
      <c r="L441" s="713"/>
      <c r="M441" s="713"/>
      <c r="N441" s="713"/>
      <c r="O441" s="713"/>
      <c r="P441" s="713"/>
      <c r="Q441" s="713"/>
      <c r="R441" s="713"/>
      <c r="S441" s="713"/>
      <c r="T441" s="713"/>
      <c r="U441" s="713"/>
      <c r="V441" s="713"/>
      <c r="W441" s="713"/>
      <c r="X441" s="713"/>
      <c r="Y441" s="713"/>
      <c r="Z441" s="713"/>
      <c r="AA441" s="713"/>
      <c r="AB441" s="713"/>
      <c r="AC441" s="713"/>
      <c r="AD441" s="713"/>
      <c r="AE441" s="713"/>
      <c r="AF441" s="713"/>
      <c r="AG441" s="713"/>
      <c r="AH441" s="713"/>
      <c r="AI441" s="713"/>
      <c r="AJ441" s="713"/>
      <c r="AK441" s="713"/>
      <c r="AL441" s="713"/>
      <c r="AM441" s="713"/>
      <c r="AN441" s="713"/>
      <c r="AO441" s="713"/>
      <c r="AP441" s="714"/>
      <c r="AQ441" s="715"/>
      <c r="AR441" s="707"/>
      <c r="AS441" s="707"/>
    </row>
    <row r="442" spans="1:45" s="711" customFormat="1" ht="12.75" customHeight="1" x14ac:dyDescent="0.25">
      <c r="A442" s="710"/>
      <c r="B442" s="52" t="s">
        <v>593</v>
      </c>
      <c r="C442" s="21"/>
      <c r="D442" s="21"/>
      <c r="E442" s="21"/>
      <c r="F442" s="21"/>
      <c r="G442" s="21"/>
      <c r="H442" s="21"/>
      <c r="I442" s="21"/>
      <c r="J442" s="22"/>
      <c r="K442" s="22"/>
      <c r="L442" s="22"/>
      <c r="M442" s="22"/>
      <c r="N442" s="22"/>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714"/>
      <c r="AQ442" s="715"/>
      <c r="AR442" s="707"/>
      <c r="AS442" s="707"/>
    </row>
    <row r="443" spans="1:45" s="711" customFormat="1" ht="12.75" customHeight="1" x14ac:dyDescent="0.25">
      <c r="A443" s="710"/>
      <c r="B443" s="707"/>
      <c r="C443" s="707"/>
      <c r="F443" s="712"/>
      <c r="G443" s="712"/>
      <c r="H443" s="712"/>
      <c r="I443" s="712"/>
      <c r="J443" s="713"/>
      <c r="K443" s="713"/>
      <c r="L443" s="713"/>
      <c r="M443" s="713"/>
      <c r="N443" s="713"/>
      <c r="O443" s="713"/>
      <c r="P443" s="713"/>
      <c r="Q443" s="713"/>
      <c r="R443" s="713"/>
      <c r="S443" s="713"/>
      <c r="T443" s="713"/>
      <c r="U443" s="713"/>
      <c r="V443" s="713"/>
      <c r="W443" s="713"/>
      <c r="X443" s="713"/>
      <c r="Y443" s="713"/>
      <c r="Z443" s="713"/>
      <c r="AA443" s="713"/>
      <c r="AB443" s="713"/>
      <c r="AC443" s="713"/>
      <c r="AD443" s="713"/>
      <c r="AE443" s="713"/>
      <c r="AF443" s="713"/>
      <c r="AG443" s="713"/>
      <c r="AH443" s="713"/>
      <c r="AI443" s="713"/>
      <c r="AJ443" s="713"/>
      <c r="AK443" s="713"/>
      <c r="AL443" s="713"/>
      <c r="AM443" s="713"/>
      <c r="AN443" s="713"/>
      <c r="AO443" s="713"/>
      <c r="AP443" s="714"/>
      <c r="AQ443" s="715"/>
      <c r="AR443" s="707"/>
      <c r="AS443" s="707"/>
    </row>
    <row r="444" spans="1:45" s="711" customFormat="1" ht="12.75" customHeight="1" x14ac:dyDescent="0.25">
      <c r="A444" s="710"/>
      <c r="B444" s="707"/>
      <c r="C444" s="2029" t="s">
        <v>613</v>
      </c>
      <c r="D444" s="2030"/>
      <c r="E444" s="2030"/>
      <c r="F444" s="2030"/>
      <c r="G444" s="2030"/>
      <c r="H444" s="2030"/>
      <c r="I444" s="2030"/>
      <c r="J444" s="2030"/>
      <c r="K444" s="2030"/>
      <c r="L444" s="2030"/>
      <c r="M444" s="2030"/>
      <c r="N444" s="2030"/>
      <c r="O444" s="2030"/>
      <c r="P444" s="2030"/>
      <c r="Q444" s="2031"/>
      <c r="R444" s="713"/>
      <c r="S444" s="713"/>
      <c r="T444" s="713"/>
      <c r="U444" s="713"/>
      <c r="V444" s="713"/>
      <c r="W444" s="713"/>
      <c r="X444" s="713"/>
      <c r="Y444" s="713"/>
      <c r="Z444" s="713"/>
      <c r="AA444" s="713"/>
      <c r="AB444" s="713"/>
      <c r="AC444" s="713"/>
      <c r="AD444" s="713"/>
      <c r="AE444" s="713"/>
      <c r="AF444" s="713"/>
      <c r="AG444" s="713"/>
      <c r="AH444" s="713"/>
      <c r="AI444" s="713"/>
      <c r="AJ444" s="713"/>
      <c r="AK444" s="713"/>
      <c r="AL444" s="713"/>
      <c r="AM444" s="713"/>
      <c r="AN444" s="713"/>
      <c r="AO444" s="713"/>
      <c r="AP444" s="714"/>
      <c r="AQ444" s="715"/>
      <c r="AR444" s="707"/>
      <c r="AS444" s="707"/>
    </row>
    <row r="445" spans="1:45" s="711" customFormat="1" ht="12.75" customHeight="1" x14ac:dyDescent="0.25">
      <c r="A445" s="710"/>
      <c r="B445" s="707"/>
      <c r="C445" s="2032"/>
      <c r="D445" s="2033"/>
      <c r="E445" s="2033"/>
      <c r="F445" s="2033"/>
      <c r="G445" s="2033"/>
      <c r="H445" s="2033"/>
      <c r="I445" s="2033"/>
      <c r="J445" s="2033"/>
      <c r="K445" s="2033"/>
      <c r="L445" s="2033"/>
      <c r="M445" s="2033"/>
      <c r="N445" s="2033"/>
      <c r="O445" s="2033"/>
      <c r="P445" s="2033"/>
      <c r="Q445" s="2034"/>
      <c r="R445" s="713"/>
      <c r="S445" s="713"/>
      <c r="T445" s="713"/>
      <c r="U445" s="713"/>
      <c r="V445" s="713"/>
      <c r="W445" s="713"/>
      <c r="X445" s="713"/>
      <c r="Y445" s="713"/>
      <c r="Z445" s="713"/>
      <c r="AA445" s="713"/>
      <c r="AB445" s="713"/>
      <c r="AC445" s="713"/>
      <c r="AD445" s="713"/>
      <c r="AE445" s="713"/>
      <c r="AF445" s="713"/>
      <c r="AG445" s="713"/>
      <c r="AH445" s="713"/>
      <c r="AI445" s="713"/>
      <c r="AJ445" s="713"/>
      <c r="AK445" s="713"/>
      <c r="AL445" s="713"/>
      <c r="AM445" s="713"/>
      <c r="AN445" s="713"/>
      <c r="AO445" s="713"/>
      <c r="AP445" s="714"/>
      <c r="AQ445" s="715"/>
      <c r="AR445" s="707"/>
      <c r="AS445" s="707"/>
    </row>
    <row r="446" spans="1:45" s="711" customFormat="1" ht="12.75" customHeight="1" x14ac:dyDescent="0.25">
      <c r="A446" s="710"/>
      <c r="B446" s="707"/>
      <c r="C446" s="2032"/>
      <c r="D446" s="2033"/>
      <c r="E446" s="2033"/>
      <c r="F446" s="2033"/>
      <c r="G446" s="2033"/>
      <c r="H446" s="2033"/>
      <c r="I446" s="2033"/>
      <c r="J446" s="2033"/>
      <c r="K446" s="2033"/>
      <c r="L446" s="2033"/>
      <c r="M446" s="2033"/>
      <c r="N446" s="2033"/>
      <c r="O446" s="2033"/>
      <c r="P446" s="2033"/>
      <c r="Q446" s="2034"/>
      <c r="R446" s="713"/>
      <c r="S446" s="713"/>
      <c r="T446" s="713"/>
      <c r="U446" s="713"/>
      <c r="V446" s="713"/>
      <c r="W446" s="713"/>
      <c r="X446" s="713"/>
      <c r="Y446" s="713"/>
      <c r="Z446" s="713"/>
      <c r="AA446" s="713"/>
      <c r="AB446" s="713"/>
      <c r="AC446" s="713"/>
      <c r="AD446" s="713"/>
      <c r="AE446" s="713"/>
      <c r="AF446" s="713"/>
      <c r="AG446" s="713"/>
      <c r="AH446" s="713"/>
      <c r="AI446" s="713"/>
      <c r="AJ446" s="713"/>
      <c r="AK446" s="713"/>
      <c r="AL446" s="713"/>
      <c r="AM446" s="713"/>
      <c r="AN446" s="713"/>
      <c r="AO446" s="713"/>
      <c r="AP446" s="714"/>
      <c r="AQ446" s="715"/>
      <c r="AR446" s="707"/>
      <c r="AS446" s="707"/>
    </row>
    <row r="447" spans="1:45" s="711" customFormat="1" ht="12.75" customHeight="1" x14ac:dyDescent="0.25">
      <c r="A447" s="710"/>
      <c r="B447" s="707"/>
      <c r="C447" s="2032"/>
      <c r="D447" s="2033"/>
      <c r="E447" s="2033"/>
      <c r="F447" s="2033"/>
      <c r="G447" s="2033"/>
      <c r="H447" s="2033"/>
      <c r="I447" s="2033"/>
      <c r="J447" s="2033"/>
      <c r="K447" s="2033"/>
      <c r="L447" s="2033"/>
      <c r="M447" s="2033"/>
      <c r="N447" s="2033"/>
      <c r="O447" s="2033"/>
      <c r="P447" s="2033"/>
      <c r="Q447" s="2034"/>
      <c r="R447" s="713"/>
      <c r="S447" s="713"/>
      <c r="T447" s="713"/>
      <c r="U447" s="713"/>
      <c r="V447" s="713"/>
      <c r="W447" s="713"/>
      <c r="X447" s="713"/>
      <c r="Y447" s="713"/>
      <c r="Z447" s="713"/>
      <c r="AA447" s="713"/>
      <c r="AB447" s="713"/>
      <c r="AC447" s="713"/>
      <c r="AD447" s="713"/>
      <c r="AE447" s="713"/>
      <c r="AF447" s="713"/>
      <c r="AG447" s="713"/>
      <c r="AH447" s="713"/>
      <c r="AI447" s="713"/>
      <c r="AJ447" s="713"/>
      <c r="AK447" s="713"/>
      <c r="AL447" s="713"/>
      <c r="AM447" s="713"/>
      <c r="AN447" s="713"/>
      <c r="AO447" s="713"/>
      <c r="AP447" s="714"/>
      <c r="AQ447" s="715"/>
      <c r="AR447" s="707"/>
      <c r="AS447" s="707"/>
    </row>
    <row r="448" spans="1:45" s="711" customFormat="1" ht="12.75" customHeight="1" x14ac:dyDescent="0.25">
      <c r="A448" s="710"/>
      <c r="B448" s="707"/>
      <c r="C448" s="2032"/>
      <c r="D448" s="2033"/>
      <c r="E448" s="2033"/>
      <c r="F448" s="2033"/>
      <c r="G448" s="2033"/>
      <c r="H448" s="2033"/>
      <c r="I448" s="2033"/>
      <c r="J448" s="2033"/>
      <c r="K448" s="2033"/>
      <c r="L448" s="2033"/>
      <c r="M448" s="2033"/>
      <c r="N448" s="2033"/>
      <c r="O448" s="2033"/>
      <c r="P448" s="2033"/>
      <c r="Q448" s="2034"/>
      <c r="R448" s="713"/>
      <c r="S448" s="713"/>
      <c r="T448" s="713"/>
      <c r="U448" s="713"/>
      <c r="V448" s="713"/>
      <c r="W448" s="713"/>
      <c r="X448" s="713"/>
      <c r="Y448" s="713"/>
      <c r="Z448" s="713"/>
      <c r="AA448" s="713"/>
      <c r="AB448" s="713"/>
      <c r="AC448" s="713"/>
      <c r="AD448" s="713"/>
      <c r="AE448" s="713"/>
      <c r="AF448" s="713"/>
      <c r="AG448" s="713"/>
      <c r="AH448" s="713"/>
      <c r="AI448" s="713"/>
      <c r="AJ448" s="713"/>
      <c r="AK448" s="713"/>
      <c r="AL448" s="713"/>
      <c r="AM448" s="713"/>
      <c r="AN448" s="713"/>
      <c r="AO448" s="713"/>
      <c r="AP448" s="714"/>
      <c r="AQ448" s="715"/>
      <c r="AR448" s="707"/>
      <c r="AS448" s="707"/>
    </row>
    <row r="449" spans="1:45" s="711" customFormat="1" ht="12.75" customHeight="1" x14ac:dyDescent="0.25">
      <c r="A449" s="710"/>
      <c r="B449" s="707"/>
      <c r="C449" s="2032"/>
      <c r="D449" s="2033"/>
      <c r="E449" s="2033"/>
      <c r="F449" s="2033"/>
      <c r="G449" s="2033"/>
      <c r="H449" s="2033"/>
      <c r="I449" s="2033"/>
      <c r="J449" s="2033"/>
      <c r="K449" s="2033"/>
      <c r="L449" s="2033"/>
      <c r="M449" s="2033"/>
      <c r="N449" s="2033"/>
      <c r="O449" s="2033"/>
      <c r="P449" s="2033"/>
      <c r="Q449" s="2034"/>
      <c r="R449" s="713"/>
      <c r="S449" s="713"/>
      <c r="T449" s="713"/>
      <c r="U449" s="713"/>
      <c r="V449" s="713"/>
      <c r="W449" s="713"/>
      <c r="X449" s="713"/>
      <c r="Y449" s="713"/>
      <c r="Z449" s="713"/>
      <c r="AA449" s="713"/>
      <c r="AB449" s="713"/>
      <c r="AC449" s="713"/>
      <c r="AD449" s="713"/>
      <c r="AE449" s="713"/>
      <c r="AF449" s="713"/>
      <c r="AG449" s="713"/>
      <c r="AH449" s="713"/>
      <c r="AI449" s="713"/>
      <c r="AJ449" s="713"/>
      <c r="AK449" s="713"/>
      <c r="AL449" s="713"/>
      <c r="AM449" s="713"/>
      <c r="AN449" s="713"/>
      <c r="AO449" s="713"/>
      <c r="AP449" s="714"/>
      <c r="AQ449" s="715"/>
      <c r="AR449" s="707"/>
      <c r="AS449" s="707"/>
    </row>
    <row r="450" spans="1:45" s="711" customFormat="1" ht="12.75" customHeight="1" x14ac:dyDescent="0.25">
      <c r="A450" s="710"/>
      <c r="B450" s="707"/>
      <c r="C450" s="2035"/>
      <c r="D450" s="2036"/>
      <c r="E450" s="2036"/>
      <c r="F450" s="2036"/>
      <c r="G450" s="2036"/>
      <c r="H450" s="2036"/>
      <c r="I450" s="2036"/>
      <c r="J450" s="2036"/>
      <c r="K450" s="2036"/>
      <c r="L450" s="2036"/>
      <c r="M450" s="2036"/>
      <c r="N450" s="2036"/>
      <c r="O450" s="2036"/>
      <c r="P450" s="2036"/>
      <c r="Q450" s="2037"/>
      <c r="R450" s="713"/>
      <c r="S450" s="713"/>
      <c r="T450" s="713"/>
      <c r="U450" s="713"/>
      <c r="V450" s="713"/>
      <c r="W450" s="713"/>
      <c r="X450" s="713"/>
      <c r="Y450" s="713"/>
      <c r="Z450" s="713"/>
      <c r="AA450" s="713"/>
      <c r="AB450" s="713"/>
      <c r="AC450" s="713"/>
      <c r="AD450" s="713"/>
      <c r="AE450" s="713"/>
      <c r="AF450" s="713"/>
      <c r="AG450" s="713"/>
      <c r="AH450" s="713"/>
      <c r="AI450" s="713"/>
      <c r="AJ450" s="713"/>
      <c r="AK450" s="713"/>
      <c r="AL450" s="713"/>
      <c r="AM450" s="713"/>
      <c r="AN450" s="713"/>
      <c r="AO450" s="713"/>
      <c r="AP450" s="714"/>
      <c r="AQ450" s="715"/>
      <c r="AR450" s="707"/>
      <c r="AS450" s="707"/>
    </row>
    <row r="451" spans="1:45" s="711" customFormat="1" ht="12.75" customHeight="1" x14ac:dyDescent="0.25">
      <c r="A451" s="710"/>
      <c r="B451" s="707"/>
      <c r="C451" s="707"/>
      <c r="F451" s="712"/>
      <c r="G451" s="712"/>
      <c r="H451" s="712"/>
      <c r="I451" s="712"/>
      <c r="J451" s="713"/>
      <c r="K451" s="713"/>
      <c r="L451" s="713"/>
      <c r="M451" s="713"/>
      <c r="N451" s="713"/>
      <c r="O451" s="713"/>
      <c r="P451" s="713"/>
      <c r="Q451" s="713"/>
      <c r="R451" s="713"/>
      <c r="S451" s="713"/>
      <c r="T451" s="713"/>
      <c r="U451" s="713"/>
      <c r="V451" s="713"/>
      <c r="W451" s="713"/>
      <c r="X451" s="713"/>
      <c r="Y451" s="713"/>
      <c r="Z451" s="713"/>
      <c r="AA451" s="713"/>
      <c r="AB451" s="713"/>
      <c r="AC451" s="713"/>
      <c r="AD451" s="713"/>
      <c r="AE451" s="713"/>
      <c r="AF451" s="713"/>
      <c r="AG451" s="713"/>
      <c r="AH451" s="713"/>
      <c r="AI451" s="713"/>
      <c r="AJ451" s="713"/>
      <c r="AK451" s="713"/>
      <c r="AL451" s="713"/>
      <c r="AM451" s="713"/>
      <c r="AN451" s="713"/>
      <c r="AO451" s="713"/>
      <c r="AP451" s="714"/>
      <c r="AQ451" s="715"/>
      <c r="AR451" s="707"/>
      <c r="AS451" s="707"/>
    </row>
    <row r="452" spans="1:45" s="711" customFormat="1" ht="12.75" customHeight="1" x14ac:dyDescent="0.25">
      <c r="A452" s="710"/>
      <c r="B452" s="707"/>
      <c r="C452" s="707"/>
      <c r="F452" s="712"/>
      <c r="G452" s="712"/>
      <c r="H452" s="712"/>
      <c r="I452" s="712"/>
      <c r="J452" s="713"/>
      <c r="K452" s="713"/>
      <c r="L452" s="713"/>
      <c r="M452" s="713"/>
      <c r="N452" s="713"/>
      <c r="O452" s="713"/>
      <c r="P452" s="713"/>
      <c r="Q452" s="713"/>
      <c r="R452" s="713"/>
      <c r="S452" s="713"/>
      <c r="T452" s="713"/>
      <c r="U452" s="713"/>
      <c r="V452" s="713"/>
      <c r="W452" s="713"/>
      <c r="X452" s="713"/>
      <c r="Y452" s="713"/>
      <c r="Z452" s="713"/>
      <c r="AA452" s="713"/>
      <c r="AB452" s="713"/>
      <c r="AC452" s="713"/>
      <c r="AD452" s="713"/>
      <c r="AE452" s="713"/>
      <c r="AF452" s="713"/>
      <c r="AG452" s="713"/>
      <c r="AH452" s="713"/>
      <c r="AI452" s="713"/>
      <c r="AJ452" s="713"/>
      <c r="AK452" s="713"/>
      <c r="AL452" s="713"/>
      <c r="AM452" s="713"/>
      <c r="AN452" s="713"/>
      <c r="AO452" s="713"/>
      <c r="AP452" s="714"/>
      <c r="AQ452" s="715"/>
      <c r="AR452" s="707"/>
      <c r="AS452" s="707"/>
    </row>
    <row r="453" spans="1:45" s="711" customFormat="1" ht="12.75" customHeight="1" x14ac:dyDescent="0.25">
      <c r="A453" s="44" t="s">
        <v>583</v>
      </c>
      <c r="B453" s="44"/>
      <c r="C453" s="44"/>
      <c r="D453" s="44"/>
      <c r="E453" s="44"/>
      <c r="F453" s="44"/>
      <c r="G453" s="44"/>
      <c r="H453" s="44"/>
      <c r="I453" s="44"/>
      <c r="J453" s="45"/>
      <c r="K453" s="45"/>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714"/>
      <c r="AQ453" s="715"/>
      <c r="AR453" s="707"/>
      <c r="AS453" s="707"/>
    </row>
    <row r="454" spans="1:45" s="711" customFormat="1" ht="12.75" customHeight="1" x14ac:dyDescent="0.25">
      <c r="A454" s="710"/>
      <c r="B454" s="707"/>
      <c r="C454" s="707"/>
      <c r="F454" s="712"/>
      <c r="G454" s="712"/>
      <c r="H454" s="712"/>
      <c r="I454" s="712"/>
      <c r="J454" s="713"/>
      <c r="K454" s="713"/>
      <c r="L454" s="713"/>
      <c r="M454" s="713"/>
      <c r="N454" s="713"/>
      <c r="O454" s="713"/>
      <c r="P454" s="713"/>
      <c r="Q454" s="713"/>
      <c r="R454" s="713"/>
      <c r="S454" s="713"/>
      <c r="T454" s="713"/>
      <c r="U454" s="713"/>
      <c r="V454" s="713"/>
      <c r="W454" s="713"/>
      <c r="X454" s="713"/>
      <c r="Y454" s="713"/>
      <c r="Z454" s="713"/>
      <c r="AA454" s="713"/>
      <c r="AB454" s="713"/>
      <c r="AC454" s="713"/>
      <c r="AD454" s="713"/>
      <c r="AE454" s="713"/>
      <c r="AF454" s="713"/>
      <c r="AG454" s="713"/>
      <c r="AH454" s="713"/>
      <c r="AI454" s="713"/>
      <c r="AJ454" s="713"/>
      <c r="AK454" s="713"/>
      <c r="AL454" s="713"/>
      <c r="AM454" s="713"/>
      <c r="AN454" s="713"/>
      <c r="AO454" s="713"/>
      <c r="AP454" s="714"/>
      <c r="AQ454" s="715"/>
      <c r="AR454" s="707"/>
      <c r="AS454" s="707"/>
    </row>
    <row r="455" spans="1:45" s="711" customFormat="1" ht="12.75" customHeight="1" x14ac:dyDescent="0.25">
      <c r="A455" s="710"/>
      <c r="B455" s="55" t="s">
        <v>518</v>
      </c>
      <c r="C455" s="55"/>
      <c r="D455" s="81"/>
      <c r="E455" s="81"/>
      <c r="F455" s="81"/>
      <c r="G455" s="81"/>
      <c r="H455" s="81"/>
      <c r="I455" s="81"/>
      <c r="J455" s="81"/>
      <c r="K455" s="81"/>
      <c r="L455" s="81"/>
      <c r="M455" s="81"/>
      <c r="N455" s="81"/>
      <c r="O455" s="55"/>
      <c r="P455" s="55"/>
      <c r="Q455" s="55"/>
      <c r="R455" s="788"/>
      <c r="S455" s="788"/>
      <c r="T455" s="788"/>
      <c r="U455" s="788"/>
      <c r="V455" s="788"/>
      <c r="W455" s="788"/>
      <c r="X455" s="788"/>
      <c r="Y455" s="788"/>
      <c r="Z455" s="788"/>
      <c r="AA455" s="788"/>
      <c r="AB455" s="788"/>
      <c r="AC455" s="788"/>
      <c r="AD455" s="788"/>
      <c r="AE455" s="788"/>
      <c r="AF455" s="788"/>
      <c r="AG455" s="788"/>
      <c r="AH455" s="788"/>
      <c r="AI455" s="788"/>
      <c r="AJ455" s="788"/>
      <c r="AK455" s="788"/>
      <c r="AL455" s="788"/>
      <c r="AM455" s="788"/>
      <c r="AN455" s="788"/>
      <c r="AO455" s="788"/>
      <c r="AP455" s="714"/>
      <c r="AQ455" s="715"/>
      <c r="AR455" s="707"/>
      <c r="AS455" s="707"/>
    </row>
    <row r="456" spans="1:45" s="711" customFormat="1" ht="12.75" customHeight="1" x14ac:dyDescent="0.25">
      <c r="A456" s="710"/>
      <c r="B456" s="707"/>
      <c r="C456" s="707"/>
      <c r="F456" s="712"/>
      <c r="G456" s="712"/>
      <c r="H456" s="712"/>
      <c r="I456" s="712"/>
      <c r="J456" s="713"/>
      <c r="K456" s="713"/>
      <c r="L456" s="713"/>
      <c r="M456" s="713"/>
      <c r="N456" s="713"/>
      <c r="O456" s="713"/>
      <c r="P456" s="713"/>
      <c r="Q456" s="713"/>
      <c r="R456" s="713"/>
      <c r="S456" s="713"/>
      <c r="T456" s="713"/>
      <c r="U456" s="713"/>
      <c r="V456" s="713"/>
      <c r="W456" s="713"/>
      <c r="X456" s="713"/>
      <c r="Y456" s="713"/>
      <c r="Z456" s="713"/>
      <c r="AA456" s="713"/>
      <c r="AB456" s="713"/>
      <c r="AC456" s="713"/>
      <c r="AD456" s="713"/>
      <c r="AE456" s="713"/>
      <c r="AF456" s="713"/>
      <c r="AG456" s="713"/>
      <c r="AH456" s="713"/>
      <c r="AI456" s="713"/>
      <c r="AJ456" s="713"/>
      <c r="AK456" s="713"/>
      <c r="AL456" s="713"/>
      <c r="AM456" s="713"/>
      <c r="AN456" s="713"/>
      <c r="AO456" s="713"/>
      <c r="AP456" s="714"/>
      <c r="AQ456" s="715"/>
      <c r="AR456" s="707"/>
      <c r="AS456" s="707"/>
    </row>
    <row r="457" spans="1:45" s="711" customFormat="1" ht="12.75" customHeight="1" x14ac:dyDescent="0.3">
      <c r="A457" s="710"/>
      <c r="B457" s="707"/>
      <c r="C457" s="707" t="s">
        <v>306</v>
      </c>
      <c r="F457" s="712"/>
      <c r="G457" s="712"/>
      <c r="I457" s="712"/>
      <c r="J457" s="713"/>
      <c r="K457" s="713"/>
      <c r="L457" s="713"/>
      <c r="M457" s="713"/>
      <c r="N457" s="713"/>
      <c r="O457" s="2005" t="s">
        <v>586</v>
      </c>
      <c r="P457" s="2006"/>
      <c r="Q457" s="713"/>
      <c r="R457" s="713"/>
      <c r="S457" s="713"/>
      <c r="T457" s="713"/>
      <c r="U457" s="713"/>
      <c r="V457" s="713"/>
      <c r="W457" s="713"/>
      <c r="X457" s="713"/>
      <c r="Y457" s="713"/>
      <c r="Z457" s="713"/>
      <c r="AA457" s="713"/>
      <c r="AB457" s="713"/>
      <c r="AC457" s="713"/>
      <c r="AD457" s="713"/>
      <c r="AE457" s="713"/>
      <c r="AF457" s="713"/>
      <c r="AG457" s="713"/>
      <c r="AH457" s="713"/>
      <c r="AI457" s="713"/>
      <c r="AJ457" s="713"/>
      <c r="AK457" s="713"/>
      <c r="AL457" s="713"/>
      <c r="AM457" s="713"/>
      <c r="AN457" s="713"/>
      <c r="AO457" s="713"/>
      <c r="AP457" s="714"/>
      <c r="AQ457" s="715"/>
      <c r="AR457" s="707"/>
      <c r="AS457" s="707"/>
    </row>
    <row r="458" spans="1:45" s="711" customFormat="1" ht="12.75" customHeight="1" x14ac:dyDescent="0.25">
      <c r="A458" s="710"/>
      <c r="B458" s="707"/>
      <c r="C458" s="707"/>
      <c r="D458" s="707" t="s">
        <v>517</v>
      </c>
      <c r="F458" s="712"/>
      <c r="G458" s="712"/>
      <c r="I458" s="712"/>
      <c r="J458" s="68"/>
      <c r="K458" s="68"/>
      <c r="L458" s="68"/>
      <c r="M458" s="713"/>
      <c r="N458" s="713"/>
      <c r="O458" s="2007" t="s">
        <v>581</v>
      </c>
      <c r="P458" s="2008" t="s">
        <v>512</v>
      </c>
      <c r="Q458" s="713"/>
      <c r="R458" s="713"/>
      <c r="S458" s="713"/>
      <c r="T458" s="713"/>
      <c r="U458" s="713"/>
      <c r="V458" s="713"/>
      <c r="W458" s="713"/>
      <c r="X458" s="713"/>
      <c r="Y458" s="713"/>
      <c r="Z458" s="713"/>
      <c r="AA458" s="713"/>
      <c r="AB458" s="713"/>
      <c r="AC458" s="713"/>
      <c r="AD458" s="713"/>
      <c r="AE458" s="713"/>
      <c r="AF458" s="713"/>
      <c r="AG458" s="713"/>
      <c r="AH458" s="713"/>
      <c r="AI458" s="713"/>
      <c r="AJ458" s="713"/>
      <c r="AK458" s="713"/>
      <c r="AL458" s="713"/>
      <c r="AM458" s="713"/>
      <c r="AN458" s="713"/>
      <c r="AO458" s="713"/>
      <c r="AP458" s="714"/>
      <c r="AQ458" s="715"/>
      <c r="AR458" s="707"/>
      <c r="AS458" s="707"/>
    </row>
    <row r="459" spans="1:45" s="711" customFormat="1" ht="12.75" customHeight="1" x14ac:dyDescent="0.25">
      <c r="A459" s="710"/>
      <c r="B459" s="707"/>
      <c r="C459" s="707"/>
      <c r="D459" s="707" t="s">
        <v>546</v>
      </c>
      <c r="F459" s="712"/>
      <c r="G459" s="712"/>
      <c r="H459" s="712"/>
      <c r="I459" s="712"/>
      <c r="J459" s="713"/>
      <c r="K459" s="713"/>
      <c r="L459" s="713"/>
      <c r="M459" s="713"/>
      <c r="N459" s="713"/>
      <c r="O459" s="1975" t="s">
        <v>509</v>
      </c>
      <c r="P459" s="1976" t="s">
        <v>513</v>
      </c>
      <c r="Q459" s="713"/>
      <c r="R459" s="713"/>
      <c r="S459" s="713"/>
      <c r="T459" s="713"/>
      <c r="U459" s="713"/>
      <c r="V459" s="713"/>
      <c r="W459" s="713"/>
      <c r="X459" s="713"/>
      <c r="Y459" s="713"/>
      <c r="Z459" s="713"/>
      <c r="AA459" s="713"/>
      <c r="AB459" s="713"/>
      <c r="AC459" s="713"/>
      <c r="AD459" s="713"/>
      <c r="AE459" s="713"/>
      <c r="AF459" s="713"/>
      <c r="AG459" s="713"/>
      <c r="AH459" s="713"/>
      <c r="AI459" s="713"/>
      <c r="AJ459" s="713"/>
      <c r="AK459" s="713"/>
      <c r="AL459" s="713"/>
      <c r="AM459" s="713"/>
      <c r="AN459" s="713"/>
      <c r="AO459" s="713"/>
      <c r="AP459" s="714"/>
      <c r="AQ459" s="715"/>
      <c r="AR459" s="707"/>
      <c r="AS459" s="707"/>
    </row>
    <row r="460" spans="1:45" s="711" customFormat="1" ht="12.75" customHeight="1" x14ac:dyDescent="0.25">
      <c r="A460" s="710"/>
      <c r="B460" s="707"/>
      <c r="C460" s="707"/>
      <c r="F460" s="712"/>
      <c r="G460" s="712"/>
      <c r="H460" s="712"/>
      <c r="I460" s="712"/>
      <c r="J460" s="713"/>
      <c r="K460" s="713"/>
      <c r="L460" s="713"/>
      <c r="M460" s="713"/>
      <c r="N460" s="713"/>
      <c r="O460" s="713"/>
      <c r="P460" s="713"/>
      <c r="Q460" s="713"/>
      <c r="R460" s="713"/>
      <c r="S460" s="713"/>
      <c r="T460" s="713"/>
      <c r="U460" s="713"/>
      <c r="V460" s="713"/>
      <c r="W460" s="713"/>
      <c r="X460" s="713"/>
      <c r="Y460" s="713"/>
      <c r="Z460" s="713"/>
      <c r="AA460" s="713"/>
      <c r="AB460" s="713"/>
      <c r="AC460" s="713"/>
      <c r="AD460" s="713"/>
      <c r="AE460" s="713"/>
      <c r="AF460" s="713"/>
      <c r="AG460" s="713"/>
      <c r="AH460" s="713"/>
      <c r="AI460" s="713"/>
      <c r="AJ460" s="713"/>
      <c r="AK460" s="713"/>
      <c r="AL460" s="713"/>
      <c r="AM460" s="713"/>
      <c r="AN460" s="713"/>
      <c r="AO460" s="713"/>
      <c r="AP460" s="714"/>
      <c r="AQ460" s="715"/>
      <c r="AR460" s="707"/>
      <c r="AS460" s="707"/>
    </row>
    <row r="461" spans="1:45" s="711" customFormat="1" ht="12.75" customHeight="1" x14ac:dyDescent="0.25">
      <c r="A461" s="710"/>
      <c r="B461" s="52" t="s">
        <v>537</v>
      </c>
      <c r="C461" s="21"/>
      <c r="D461" s="21"/>
      <c r="E461" s="21"/>
      <c r="F461" s="21"/>
      <c r="G461" s="21"/>
      <c r="H461" s="21"/>
      <c r="I461" s="21"/>
      <c r="J461" s="22"/>
      <c r="K461" s="22"/>
      <c r="L461" s="22"/>
      <c r="M461" s="22"/>
      <c r="N461" s="22"/>
      <c r="O461" s="21"/>
      <c r="P461" s="21"/>
      <c r="Q461" s="21"/>
      <c r="R461" s="21"/>
      <c r="S461" s="21"/>
      <c r="T461" s="21"/>
      <c r="U461" s="21"/>
      <c r="V461" s="713"/>
      <c r="W461" s="713"/>
      <c r="X461" s="713"/>
      <c r="Y461" s="713"/>
      <c r="Z461" s="713"/>
      <c r="AA461" s="713"/>
      <c r="AB461" s="713"/>
      <c r="AC461" s="713"/>
      <c r="AD461" s="713"/>
      <c r="AE461" s="713"/>
      <c r="AF461" s="713"/>
      <c r="AG461" s="713"/>
      <c r="AH461" s="713"/>
      <c r="AI461" s="713"/>
      <c r="AJ461" s="713"/>
      <c r="AK461" s="713"/>
      <c r="AL461" s="713"/>
      <c r="AM461" s="713"/>
      <c r="AN461" s="713"/>
      <c r="AO461" s="713"/>
      <c r="AP461" s="714"/>
      <c r="AQ461" s="715"/>
      <c r="AR461" s="707"/>
      <c r="AS461" s="707"/>
    </row>
    <row r="462" spans="1:45" s="711" customFormat="1" ht="12.75" customHeight="1" x14ac:dyDescent="0.25">
      <c r="A462" s="710"/>
      <c r="B462" s="8"/>
      <c r="C462" s="8"/>
      <c r="D462" s="8"/>
      <c r="E462" s="8"/>
      <c r="F462" s="8"/>
      <c r="G462" s="8"/>
      <c r="H462" s="8"/>
      <c r="I462" s="11"/>
      <c r="J462" s="1128"/>
      <c r="K462" s="1128"/>
      <c r="L462" s="1128"/>
      <c r="M462" s="1128"/>
      <c r="N462" s="1128"/>
      <c r="O462" s="1128"/>
      <c r="P462" s="40"/>
      <c r="Q462" s="8"/>
      <c r="R462" s="8"/>
      <c r="S462" s="8"/>
      <c r="T462" s="8"/>
      <c r="U462" s="8"/>
      <c r="V462" s="713"/>
      <c r="W462" s="713"/>
      <c r="X462" s="713"/>
      <c r="Y462" s="713"/>
      <c r="Z462" s="713"/>
      <c r="AA462" s="713"/>
      <c r="AB462" s="713"/>
      <c r="AC462" s="713"/>
      <c r="AD462" s="713"/>
      <c r="AE462" s="713"/>
      <c r="AF462" s="713"/>
      <c r="AG462" s="713"/>
      <c r="AH462" s="713"/>
      <c r="AI462" s="713"/>
      <c r="AJ462" s="713"/>
      <c r="AK462" s="713"/>
      <c r="AL462" s="713"/>
      <c r="AM462" s="713"/>
      <c r="AN462" s="713"/>
      <c r="AO462" s="713"/>
      <c r="AP462" s="714"/>
      <c r="AQ462" s="715"/>
      <c r="AR462" s="707"/>
      <c r="AS462" s="707"/>
    </row>
    <row r="463" spans="1:45" s="711" customFormat="1" ht="12.75" customHeight="1" x14ac:dyDescent="0.25">
      <c r="A463" s="710"/>
      <c r="B463" s="8"/>
      <c r="C463" s="8"/>
      <c r="D463" s="8"/>
      <c r="E463" s="8"/>
      <c r="F463" s="8"/>
      <c r="G463" s="8"/>
      <c r="H463" s="8"/>
      <c r="I463" s="11"/>
      <c r="J463" s="1128"/>
      <c r="K463" s="1128"/>
      <c r="L463" s="1128"/>
      <c r="M463" s="1128"/>
      <c r="N463" s="1128"/>
      <c r="O463" s="1128"/>
      <c r="P463" s="40"/>
      <c r="Q463" s="8"/>
      <c r="R463" s="8"/>
      <c r="S463" s="8"/>
      <c r="T463" s="8"/>
      <c r="U463" s="8"/>
      <c r="V463" s="713"/>
      <c r="W463" s="713"/>
      <c r="X463" s="713"/>
      <c r="Y463" s="713"/>
      <c r="Z463" s="713"/>
      <c r="AA463" s="713"/>
      <c r="AB463" s="713"/>
      <c r="AC463" s="713"/>
      <c r="AD463" s="713"/>
      <c r="AE463" s="713"/>
      <c r="AF463" s="713"/>
      <c r="AG463" s="713"/>
      <c r="AH463" s="713"/>
      <c r="AI463" s="713"/>
      <c r="AJ463" s="713"/>
      <c r="AK463" s="713"/>
      <c r="AL463" s="713"/>
      <c r="AM463" s="713"/>
      <c r="AN463" s="713"/>
      <c r="AO463" s="713"/>
      <c r="AP463" s="714"/>
      <c r="AQ463" s="715"/>
      <c r="AR463" s="707"/>
      <c r="AS463" s="707"/>
    </row>
    <row r="464" spans="1:45" s="707" customFormat="1" ht="12.75" customHeight="1" x14ac:dyDescent="0.25">
      <c r="A464" s="8"/>
      <c r="B464" s="8"/>
      <c r="C464" s="8"/>
      <c r="D464" s="8"/>
      <c r="E464" s="8"/>
      <c r="F464" s="8"/>
      <c r="G464" s="8"/>
      <c r="H464" s="8"/>
      <c r="I464" s="11"/>
      <c r="J464" s="1128"/>
      <c r="K464" s="1128"/>
      <c r="L464" s="1743" t="s">
        <v>200</v>
      </c>
      <c r="M464" s="1744"/>
      <c r="N464" s="1744"/>
      <c r="O464" s="1745"/>
      <c r="P464" s="1788" t="s">
        <v>201</v>
      </c>
      <c r="Q464" s="1789"/>
      <c r="R464" s="1789"/>
      <c r="S464" s="1790"/>
      <c r="T464" s="8"/>
      <c r="U464" s="8"/>
      <c r="V464" s="713"/>
      <c r="W464" s="713"/>
      <c r="X464" s="713"/>
      <c r="Y464" s="713"/>
      <c r="Z464" s="713"/>
      <c r="AA464" s="713"/>
      <c r="AB464" s="713"/>
      <c r="AC464" s="713"/>
      <c r="AD464" s="713"/>
      <c r="AE464" s="713"/>
      <c r="AF464" s="713"/>
      <c r="AG464" s="713"/>
      <c r="AH464" s="713"/>
      <c r="AI464" s="713"/>
      <c r="AJ464" s="713"/>
      <c r="AK464" s="713"/>
      <c r="AL464" s="713"/>
      <c r="AM464" s="713"/>
      <c r="AN464" s="713"/>
      <c r="AO464" s="713"/>
      <c r="AP464" s="713"/>
      <c r="AQ464" s="715"/>
    </row>
    <row r="465" spans="1:43" s="707" customFormat="1" ht="12.75" customHeight="1" x14ac:dyDescent="0.25">
      <c r="A465" s="8"/>
      <c r="B465" s="8"/>
      <c r="C465" s="8"/>
      <c r="D465" s="8"/>
      <c r="E465" s="8"/>
      <c r="F465" s="8"/>
      <c r="G465" s="8"/>
      <c r="H465" s="8"/>
      <c r="I465" s="11"/>
      <c r="J465" s="1128"/>
      <c r="K465" s="1128"/>
      <c r="L465" s="1785" t="s">
        <v>229</v>
      </c>
      <c r="M465" s="1786"/>
      <c r="N465" s="1786"/>
      <c r="O465" s="1787"/>
      <c r="P465" s="1667" t="s">
        <v>229</v>
      </c>
      <c r="Q465" s="1668"/>
      <c r="R465" s="1668"/>
      <c r="S465" s="1669"/>
      <c r="T465" s="8"/>
      <c r="U465" s="8"/>
      <c r="V465" s="713"/>
      <c r="W465" s="713"/>
      <c r="X465" s="713"/>
      <c r="Y465" s="713"/>
      <c r="Z465" s="713"/>
      <c r="AA465" s="713"/>
      <c r="AB465" s="713"/>
      <c r="AC465" s="713"/>
      <c r="AD465" s="713"/>
      <c r="AE465" s="713"/>
      <c r="AF465" s="713"/>
      <c r="AG465" s="713"/>
      <c r="AH465" s="713"/>
      <c r="AI465" s="713"/>
      <c r="AJ465" s="713"/>
      <c r="AK465" s="713"/>
      <c r="AL465" s="713"/>
      <c r="AM465" s="713"/>
      <c r="AN465" s="713"/>
      <c r="AO465" s="713"/>
      <c r="AP465" s="713"/>
      <c r="AQ465" s="715"/>
    </row>
    <row r="466" spans="1:43" s="707" customFormat="1" ht="38.700000000000003" customHeight="1" x14ac:dyDescent="0.25">
      <c r="A466" s="8"/>
      <c r="B466" s="8"/>
      <c r="C466" s="1130" t="s">
        <v>78</v>
      </c>
      <c r="D466" s="840"/>
      <c r="E466" s="840"/>
      <c r="F466" s="840"/>
      <c r="G466" s="840"/>
      <c r="H466" s="840"/>
      <c r="I466" s="840"/>
      <c r="J466" s="840"/>
      <c r="K466" s="840"/>
      <c r="L466" s="1131" t="s">
        <v>227</v>
      </c>
      <c r="M466" s="1131" t="s">
        <v>218</v>
      </c>
      <c r="N466" s="1132" t="s">
        <v>226</v>
      </c>
      <c r="O466" s="1133" t="s">
        <v>225</v>
      </c>
      <c r="P466" s="1134" t="s">
        <v>227</v>
      </c>
      <c r="Q466" s="1134" t="s">
        <v>218</v>
      </c>
      <c r="R466" s="1135" t="s">
        <v>226</v>
      </c>
      <c r="S466" s="1136" t="s">
        <v>225</v>
      </c>
      <c r="T466" s="8"/>
      <c r="U466" s="8"/>
      <c r="V466" s="713"/>
      <c r="W466" s="713"/>
      <c r="X466" s="713"/>
      <c r="Y466" s="713"/>
      <c r="Z466" s="713"/>
      <c r="AA466" s="713"/>
      <c r="AB466" s="713"/>
      <c r="AC466" s="713"/>
      <c r="AD466" s="713"/>
      <c r="AE466" s="713"/>
      <c r="AF466" s="713"/>
      <c r="AG466" s="713"/>
      <c r="AH466" s="713"/>
      <c r="AI466" s="713"/>
      <c r="AJ466" s="713"/>
      <c r="AK466" s="713"/>
      <c r="AL466" s="713"/>
      <c r="AM466" s="713"/>
      <c r="AN466" s="713"/>
      <c r="AO466" s="713"/>
      <c r="AP466" s="713"/>
      <c r="AQ466" s="715"/>
    </row>
    <row r="467" spans="1:43" s="707" customFormat="1" ht="12.75" customHeight="1" x14ac:dyDescent="0.25">
      <c r="A467" s="8"/>
      <c r="B467" s="8"/>
      <c r="C467" s="848" t="s">
        <v>151</v>
      </c>
      <c r="D467" s="57"/>
      <c r="E467" s="182"/>
      <c r="F467" s="57"/>
      <c r="G467" s="57"/>
      <c r="H467" s="57"/>
      <c r="I467" s="57"/>
      <c r="J467" s="57"/>
      <c r="K467" s="57"/>
      <c r="L467" s="1447">
        <v>0</v>
      </c>
      <c r="M467" s="1448">
        <v>0</v>
      </c>
      <c r="N467" s="1449">
        <v>0</v>
      </c>
      <c r="O467" s="1450">
        <v>0</v>
      </c>
      <c r="P467" s="1451">
        <v>0</v>
      </c>
      <c r="Q467" s="1451">
        <v>0</v>
      </c>
      <c r="R467" s="1452">
        <v>0</v>
      </c>
      <c r="S467" s="1453">
        <v>0</v>
      </c>
      <c r="T467" s="8"/>
      <c r="U467" s="8"/>
      <c r="V467" s="713"/>
      <c r="W467" s="713"/>
      <c r="X467" s="713"/>
      <c r="Y467" s="713"/>
      <c r="Z467" s="713"/>
      <c r="AA467" s="713"/>
      <c r="AB467" s="713"/>
      <c r="AC467" s="713"/>
      <c r="AD467" s="713"/>
      <c r="AE467" s="713"/>
      <c r="AF467" s="713"/>
      <c r="AG467" s="713"/>
      <c r="AH467" s="713"/>
      <c r="AI467" s="713"/>
      <c r="AJ467" s="713"/>
      <c r="AK467" s="713"/>
      <c r="AL467" s="713"/>
      <c r="AM467" s="713"/>
      <c r="AN467" s="713"/>
      <c r="AO467" s="713"/>
      <c r="AP467" s="713"/>
      <c r="AQ467" s="715"/>
    </row>
    <row r="468" spans="1:43" s="707" customFormat="1" ht="12.75" customHeight="1" x14ac:dyDescent="0.25">
      <c r="A468" s="8"/>
      <c r="B468" s="8"/>
      <c r="C468" s="856" t="s">
        <v>238</v>
      </c>
      <c r="D468" s="857"/>
      <c r="E468" s="857"/>
      <c r="F468" s="857"/>
      <c r="G468" s="857"/>
      <c r="H468" s="857"/>
      <c r="I468" s="857"/>
      <c r="J468" s="857"/>
      <c r="K468" s="857"/>
      <c r="L468" s="1454">
        <v>0</v>
      </c>
      <c r="M468" s="1454">
        <v>0</v>
      </c>
      <c r="N468" s="1455">
        <v>0</v>
      </c>
      <c r="O468" s="1456">
        <v>0</v>
      </c>
      <c r="P468" s="1457">
        <v>0</v>
      </c>
      <c r="Q468" s="1457">
        <v>0</v>
      </c>
      <c r="R468" s="1458">
        <v>0</v>
      </c>
      <c r="S468" s="1459">
        <v>0</v>
      </c>
      <c r="T468" s="8"/>
      <c r="U468" s="8"/>
      <c r="V468" s="713"/>
      <c r="W468" s="713"/>
      <c r="X468" s="713"/>
      <c r="Y468" s="713"/>
      <c r="Z468" s="713"/>
      <c r="AA468" s="713"/>
      <c r="AB468" s="713"/>
      <c r="AC468" s="713"/>
      <c r="AD468" s="713"/>
      <c r="AE468" s="713"/>
      <c r="AF468" s="713"/>
      <c r="AG468" s="713"/>
      <c r="AH468" s="713"/>
      <c r="AI468" s="713"/>
      <c r="AJ468" s="713"/>
      <c r="AK468" s="713"/>
      <c r="AL468" s="713"/>
      <c r="AM468" s="713"/>
      <c r="AN468" s="713"/>
      <c r="AO468" s="713"/>
      <c r="AP468" s="713"/>
      <c r="AQ468" s="715"/>
    </row>
    <row r="469" spans="1:43" s="707" customFormat="1" ht="12.75" customHeight="1" x14ac:dyDescent="0.25">
      <c r="A469" s="8"/>
      <c r="B469" s="8"/>
      <c r="C469" s="56" t="s">
        <v>80</v>
      </c>
      <c r="D469" s="56"/>
      <c r="E469" s="56"/>
      <c r="F469" s="57"/>
      <c r="G469" s="57"/>
      <c r="H469" s="57"/>
      <c r="I469" s="57"/>
      <c r="J469" s="57"/>
      <c r="K469" s="57"/>
      <c r="L469" s="1460">
        <v>0</v>
      </c>
      <c r="M469" s="1460">
        <v>0</v>
      </c>
      <c r="N469" s="1461">
        <v>0</v>
      </c>
      <c r="O469" s="1461">
        <v>0</v>
      </c>
      <c r="P469" s="1462">
        <v>0</v>
      </c>
      <c r="Q469" s="1462">
        <v>0</v>
      </c>
      <c r="R469" s="1463">
        <v>0</v>
      </c>
      <c r="S469" s="1464">
        <v>0</v>
      </c>
      <c r="T469" s="8"/>
      <c r="U469" s="8"/>
      <c r="V469" s="713"/>
      <c r="W469" s="713"/>
      <c r="X469" s="713"/>
      <c r="Y469" s="713"/>
      <c r="Z469" s="713"/>
      <c r="AA469" s="713"/>
      <c r="AB469" s="713"/>
      <c r="AC469" s="713"/>
      <c r="AD469" s="713"/>
      <c r="AE469" s="713"/>
      <c r="AF469" s="713"/>
      <c r="AG469" s="713"/>
      <c r="AH469" s="713"/>
      <c r="AI469" s="713"/>
      <c r="AJ469" s="713"/>
      <c r="AK469" s="713"/>
      <c r="AL469" s="713"/>
      <c r="AM469" s="713"/>
      <c r="AN469" s="713"/>
      <c r="AO469" s="713"/>
      <c r="AP469" s="713"/>
      <c r="AQ469" s="715"/>
    </row>
    <row r="470" spans="1:43" s="707" customFormat="1" ht="12.75" customHeight="1" x14ac:dyDescent="0.25">
      <c r="A470" s="8"/>
      <c r="B470" s="8"/>
      <c r="C470" s="8"/>
      <c r="D470" s="8"/>
      <c r="E470" s="8"/>
      <c r="F470" s="8"/>
      <c r="G470" s="8"/>
      <c r="H470" s="8"/>
      <c r="I470" s="11"/>
      <c r="J470" s="1128"/>
      <c r="K470" s="1128"/>
      <c r="L470" s="1241"/>
      <c r="M470" s="1241"/>
      <c r="N470" s="1241"/>
      <c r="O470" s="1241"/>
      <c r="P470" s="40"/>
      <c r="Q470" s="8"/>
      <c r="R470" s="8"/>
      <c r="S470" s="8"/>
      <c r="T470" s="8"/>
      <c r="U470" s="8"/>
      <c r="V470" s="713"/>
      <c r="W470" s="713"/>
      <c r="X470" s="713"/>
      <c r="Y470" s="713"/>
      <c r="Z470" s="713"/>
      <c r="AA470" s="713"/>
      <c r="AB470" s="713"/>
      <c r="AC470" s="713"/>
      <c r="AD470" s="713"/>
      <c r="AE470" s="713"/>
      <c r="AF470" s="713"/>
      <c r="AG470" s="713"/>
      <c r="AH470" s="713"/>
      <c r="AI470" s="713"/>
      <c r="AJ470" s="713"/>
      <c r="AK470" s="713"/>
      <c r="AL470" s="713"/>
      <c r="AM470" s="713"/>
      <c r="AN470" s="713"/>
      <c r="AO470" s="713"/>
      <c r="AP470" s="713"/>
      <c r="AQ470" s="715"/>
    </row>
    <row r="471" spans="1:43" s="707" customFormat="1" ht="12.75" customHeight="1" x14ac:dyDescent="0.25">
      <c r="A471" s="8"/>
      <c r="B471" s="8"/>
      <c r="C471" s="8"/>
      <c r="D471" s="8"/>
      <c r="E471" s="8"/>
      <c r="F471" s="8"/>
      <c r="G471" s="8"/>
      <c r="H471" s="8"/>
      <c r="I471" s="11"/>
      <c r="J471" s="1128"/>
      <c r="K471" s="1128"/>
      <c r="L471" s="1241"/>
      <c r="M471" s="1241"/>
      <c r="N471" s="1241"/>
      <c r="O471" s="1241"/>
      <c r="P471" s="40"/>
      <c r="Q471" s="8"/>
      <c r="R471" s="8"/>
      <c r="S471" s="8"/>
      <c r="T471" s="8"/>
      <c r="U471" s="8"/>
      <c r="V471" s="713"/>
      <c r="W471" s="713"/>
      <c r="X471" s="713"/>
      <c r="Y471" s="713"/>
      <c r="Z471" s="713"/>
      <c r="AA471" s="713"/>
      <c r="AB471" s="713"/>
      <c r="AC471" s="713"/>
      <c r="AD471" s="713"/>
      <c r="AE471" s="713"/>
      <c r="AF471" s="713"/>
      <c r="AG471" s="713"/>
      <c r="AH471" s="713"/>
      <c r="AI471" s="713"/>
      <c r="AJ471" s="713"/>
      <c r="AK471" s="713"/>
      <c r="AL471" s="713"/>
      <c r="AM471" s="713"/>
      <c r="AN471" s="713"/>
      <c r="AO471" s="713"/>
      <c r="AP471" s="713"/>
      <c r="AQ471" s="715"/>
    </row>
    <row r="472" spans="1:43" s="707" customFormat="1" ht="12.75" customHeight="1" x14ac:dyDescent="0.25">
      <c r="A472" s="8"/>
      <c r="B472" s="8"/>
      <c r="C472" s="8"/>
      <c r="D472" s="8"/>
      <c r="E472" s="8"/>
      <c r="F472" s="8"/>
      <c r="G472" s="8"/>
      <c r="H472" s="8"/>
      <c r="I472" s="11"/>
      <c r="J472" s="1128"/>
      <c r="K472" s="1128"/>
      <c r="L472" s="1743" t="s">
        <v>200</v>
      </c>
      <c r="M472" s="1744"/>
      <c r="N472" s="1744"/>
      <c r="O472" s="1745"/>
      <c r="P472" s="1788" t="s">
        <v>201</v>
      </c>
      <c r="Q472" s="1789"/>
      <c r="R472" s="1789"/>
      <c r="S472" s="1790"/>
      <c r="T472" s="8"/>
      <c r="U472" s="8"/>
      <c r="V472" s="713"/>
      <c r="W472" s="713"/>
      <c r="X472" s="713"/>
      <c r="Y472" s="713"/>
      <c r="Z472" s="713"/>
      <c r="AA472" s="713"/>
      <c r="AB472" s="713"/>
      <c r="AC472" s="713"/>
      <c r="AD472" s="713"/>
      <c r="AE472" s="713"/>
      <c r="AF472" s="713"/>
      <c r="AG472" s="713"/>
      <c r="AH472" s="713"/>
      <c r="AI472" s="713"/>
      <c r="AJ472" s="713"/>
      <c r="AK472" s="713"/>
      <c r="AL472" s="713"/>
      <c r="AM472" s="713"/>
      <c r="AN472" s="713"/>
      <c r="AO472" s="713"/>
      <c r="AP472" s="713"/>
      <c r="AQ472" s="715"/>
    </row>
    <row r="473" spans="1:43" s="707" customFormat="1" ht="12.75" customHeight="1" x14ac:dyDescent="0.25">
      <c r="A473" s="8"/>
      <c r="B473" s="8"/>
      <c r="C473" s="8"/>
      <c r="D473" s="8"/>
      <c r="E473" s="8"/>
      <c r="F473" s="8"/>
      <c r="G473" s="8"/>
      <c r="H473" s="8"/>
      <c r="I473" s="11"/>
      <c r="J473" s="1128"/>
      <c r="K473" s="1128"/>
      <c r="L473" s="1785" t="s">
        <v>229</v>
      </c>
      <c r="M473" s="1786"/>
      <c r="N473" s="1786"/>
      <c r="O473" s="1787"/>
      <c r="P473" s="1667" t="s">
        <v>229</v>
      </c>
      <c r="Q473" s="1668"/>
      <c r="R473" s="1668"/>
      <c r="S473" s="1669"/>
      <c r="T473" s="8"/>
      <c r="U473" s="8"/>
      <c r="V473" s="713"/>
      <c r="W473" s="713"/>
      <c r="X473" s="713"/>
      <c r="Y473" s="713"/>
      <c r="Z473" s="713"/>
      <c r="AA473" s="713"/>
      <c r="AB473" s="713"/>
      <c r="AC473" s="713"/>
      <c r="AD473" s="713"/>
      <c r="AE473" s="713"/>
      <c r="AF473" s="713"/>
      <c r="AG473" s="713"/>
      <c r="AH473" s="713"/>
      <c r="AI473" s="713"/>
      <c r="AJ473" s="713"/>
      <c r="AK473" s="713"/>
      <c r="AL473" s="713"/>
      <c r="AM473" s="713"/>
      <c r="AN473" s="713"/>
      <c r="AO473" s="713"/>
      <c r="AP473" s="713"/>
      <c r="AQ473" s="715"/>
    </row>
    <row r="474" spans="1:43" s="707" customFormat="1" ht="39.450000000000003" customHeight="1" x14ac:dyDescent="0.25">
      <c r="A474" s="8"/>
      <c r="B474" s="8"/>
      <c r="C474" s="867" t="s">
        <v>230</v>
      </c>
      <c r="D474" s="868"/>
      <c r="E474" s="55"/>
      <c r="F474" s="868"/>
      <c r="G474" s="868"/>
      <c r="H474" s="868"/>
      <c r="I474" s="868"/>
      <c r="J474" s="868"/>
      <c r="K474" s="868"/>
      <c r="L474" s="1243" t="s">
        <v>227</v>
      </c>
      <c r="M474" s="1243" t="s">
        <v>218</v>
      </c>
      <c r="N474" s="1244" t="s">
        <v>226</v>
      </c>
      <c r="O474" s="1245" t="s">
        <v>225</v>
      </c>
      <c r="P474" s="1246" t="s">
        <v>227</v>
      </c>
      <c r="Q474" s="1246" t="s">
        <v>218</v>
      </c>
      <c r="R474" s="1247" t="s">
        <v>226</v>
      </c>
      <c r="S474" s="1248" t="s">
        <v>225</v>
      </c>
      <c r="T474" s="8"/>
      <c r="U474" s="8"/>
      <c r="V474" s="713"/>
      <c r="W474" s="713"/>
      <c r="X474" s="713"/>
      <c r="Y474" s="713"/>
      <c r="Z474" s="713"/>
      <c r="AA474" s="713"/>
      <c r="AB474" s="713"/>
      <c r="AC474" s="713"/>
      <c r="AD474" s="713"/>
      <c r="AE474" s="713"/>
      <c r="AF474" s="713"/>
      <c r="AG474" s="713"/>
      <c r="AH474" s="713"/>
      <c r="AI474" s="713"/>
      <c r="AJ474" s="713"/>
      <c r="AK474" s="713"/>
      <c r="AL474" s="713"/>
      <c r="AM474" s="713"/>
      <c r="AN474" s="713"/>
      <c r="AO474" s="713"/>
      <c r="AP474" s="713"/>
      <c r="AQ474" s="715"/>
    </row>
    <row r="475" spans="1:43" s="707" customFormat="1" ht="12.75" customHeight="1" x14ac:dyDescent="0.25">
      <c r="A475" s="8"/>
      <c r="B475" s="8"/>
      <c r="C475" s="836" t="str">
        <f>$C$32</f>
        <v>Power Market Risk</v>
      </c>
      <c r="D475" s="57"/>
      <c r="E475" s="57"/>
      <c r="F475" s="57"/>
      <c r="G475" s="8"/>
      <c r="H475" s="8"/>
      <c r="I475" s="11"/>
      <c r="J475" s="1128"/>
      <c r="K475" s="1128"/>
      <c r="L475" s="1423">
        <v>0</v>
      </c>
      <c r="M475" s="1423">
        <v>0</v>
      </c>
      <c r="N475" s="1424">
        <v>0</v>
      </c>
      <c r="O475" s="1425">
        <v>0</v>
      </c>
      <c r="P475" s="1426">
        <v>0</v>
      </c>
      <c r="Q475" s="1427">
        <v>0</v>
      </c>
      <c r="R475" s="1428">
        <v>0</v>
      </c>
      <c r="S475" s="1429">
        <v>0</v>
      </c>
      <c r="T475" s="8"/>
      <c r="U475" s="8"/>
      <c r="V475" s="713"/>
      <c r="W475" s="713"/>
      <c r="X475" s="713"/>
      <c r="Y475" s="713"/>
      <c r="Z475" s="713"/>
      <c r="AA475" s="713"/>
      <c r="AB475" s="713"/>
      <c r="AC475" s="713"/>
      <c r="AD475" s="713"/>
      <c r="AE475" s="713"/>
      <c r="AF475" s="713"/>
      <c r="AG475" s="713"/>
      <c r="AH475" s="713"/>
      <c r="AI475" s="713"/>
      <c r="AJ475" s="713"/>
      <c r="AK475" s="713"/>
      <c r="AL475" s="713"/>
      <c r="AM475" s="713"/>
      <c r="AN475" s="713"/>
      <c r="AO475" s="713"/>
      <c r="AP475" s="713"/>
      <c r="AQ475" s="715"/>
    </row>
    <row r="476" spans="1:43" s="707" customFormat="1" ht="12.75" customHeight="1" x14ac:dyDescent="0.25">
      <c r="A476" s="8"/>
      <c r="B476" s="8"/>
      <c r="C476" s="836" t="str">
        <f>$C$33</f>
        <v>Permits Risk</v>
      </c>
      <c r="D476" s="57"/>
      <c r="E476" s="57"/>
      <c r="F476" s="57"/>
      <c r="G476" s="8"/>
      <c r="H476" s="8"/>
      <c r="I476" s="11"/>
      <c r="J476" s="1128"/>
      <c r="K476" s="1128"/>
      <c r="L476" s="1423">
        <v>0</v>
      </c>
      <c r="M476" s="1423">
        <v>0</v>
      </c>
      <c r="N476" s="1430">
        <v>0</v>
      </c>
      <c r="O476" s="1425">
        <v>0</v>
      </c>
      <c r="P476" s="1426">
        <v>0</v>
      </c>
      <c r="Q476" s="1431">
        <v>0</v>
      </c>
      <c r="R476" s="1432">
        <v>0</v>
      </c>
      <c r="S476" s="1433">
        <v>0</v>
      </c>
      <c r="T476" s="8"/>
      <c r="U476" s="8"/>
      <c r="V476" s="713"/>
      <c r="W476" s="713"/>
      <c r="X476" s="713"/>
      <c r="Y476" s="713"/>
      <c r="Z476" s="713"/>
      <c r="AA476" s="713"/>
      <c r="AB476" s="713"/>
      <c r="AC476" s="713"/>
      <c r="AD476" s="713"/>
      <c r="AE476" s="713"/>
      <c r="AF476" s="713"/>
      <c r="AG476" s="713"/>
      <c r="AH476" s="713"/>
      <c r="AI476" s="713"/>
      <c r="AJ476" s="713"/>
      <c r="AK476" s="713"/>
      <c r="AL476" s="713"/>
      <c r="AM476" s="713"/>
      <c r="AN476" s="713"/>
      <c r="AO476" s="713"/>
      <c r="AP476" s="713"/>
      <c r="AQ476" s="715"/>
    </row>
    <row r="477" spans="1:43" s="707" customFormat="1" ht="12.75" customHeight="1" x14ac:dyDescent="0.25">
      <c r="A477" s="8"/>
      <c r="B477" s="8"/>
      <c r="C477" s="836" t="str">
        <f>$C$34</f>
        <v>Social Acceptance Risk</v>
      </c>
      <c r="D477" s="57"/>
      <c r="E477" s="57"/>
      <c r="F477" s="57"/>
      <c r="G477" s="8"/>
      <c r="H477" s="8"/>
      <c r="I477" s="11"/>
      <c r="J477" s="1128"/>
      <c r="K477" s="1128"/>
      <c r="L477" s="1423">
        <v>0</v>
      </c>
      <c r="M477" s="1423">
        <v>0</v>
      </c>
      <c r="N477" s="1430">
        <v>0</v>
      </c>
      <c r="O477" s="1425">
        <v>0</v>
      </c>
      <c r="P477" s="1426">
        <v>0</v>
      </c>
      <c r="Q477" s="1431">
        <v>0</v>
      </c>
      <c r="R477" s="1432">
        <v>0</v>
      </c>
      <c r="S477" s="1433">
        <v>0</v>
      </c>
      <c r="T477" s="8"/>
      <c r="U477" s="8"/>
      <c r="V477" s="713"/>
      <c r="W477" s="713"/>
      <c r="X477" s="713"/>
      <c r="Y477" s="713"/>
      <c r="Z477" s="713"/>
      <c r="AA477" s="713"/>
      <c r="AB477" s="713"/>
      <c r="AC477" s="713"/>
      <c r="AD477" s="713"/>
      <c r="AE477" s="713"/>
      <c r="AF477" s="713"/>
      <c r="AG477" s="713"/>
      <c r="AH477" s="713"/>
      <c r="AI477" s="713"/>
      <c r="AJ477" s="713"/>
      <c r="AK477" s="713"/>
      <c r="AL477" s="713"/>
      <c r="AM477" s="713"/>
      <c r="AN477" s="713"/>
      <c r="AO477" s="713"/>
      <c r="AP477" s="713"/>
      <c r="AQ477" s="715"/>
    </row>
    <row r="478" spans="1:43" s="707" customFormat="1" ht="12.75" customHeight="1" x14ac:dyDescent="0.25">
      <c r="A478" s="8"/>
      <c r="B478" s="8"/>
      <c r="C478" s="836" t="str">
        <f>$C$35</f>
        <v>Resource &amp; Technology Risk</v>
      </c>
      <c r="D478" s="57"/>
      <c r="E478" s="57"/>
      <c r="F478" s="57"/>
      <c r="G478" s="8"/>
      <c r="H478" s="8"/>
      <c r="I478" s="11"/>
      <c r="J478" s="1128"/>
      <c r="K478" s="1128"/>
      <c r="L478" s="1423">
        <v>0</v>
      </c>
      <c r="M478" s="1423">
        <v>0</v>
      </c>
      <c r="N478" s="1430">
        <v>0</v>
      </c>
      <c r="O478" s="1425">
        <v>0</v>
      </c>
      <c r="P478" s="1426">
        <v>0</v>
      </c>
      <c r="Q478" s="1431">
        <v>0</v>
      </c>
      <c r="R478" s="1432">
        <v>0</v>
      </c>
      <c r="S478" s="1433">
        <v>0</v>
      </c>
      <c r="T478" s="8"/>
      <c r="U478" s="8"/>
      <c r="V478" s="713"/>
      <c r="W478" s="713"/>
      <c r="X478" s="713"/>
      <c r="Y478" s="713"/>
      <c r="Z478" s="713"/>
      <c r="AA478" s="713"/>
      <c r="AB478" s="713"/>
      <c r="AC478" s="713"/>
      <c r="AD478" s="713"/>
      <c r="AE478" s="713"/>
      <c r="AF478" s="713"/>
      <c r="AG478" s="713"/>
      <c r="AH478" s="713"/>
      <c r="AI478" s="713"/>
      <c r="AJ478" s="713"/>
      <c r="AK478" s="713"/>
      <c r="AL478" s="713"/>
      <c r="AM478" s="713"/>
      <c r="AN478" s="713"/>
      <c r="AO478" s="713"/>
      <c r="AP478" s="713"/>
      <c r="AQ478" s="715"/>
    </row>
    <row r="479" spans="1:43" s="707" customFormat="1" ht="12.75" customHeight="1" x14ac:dyDescent="0.25">
      <c r="A479" s="8"/>
      <c r="B479" s="8"/>
      <c r="C479" s="836" t="str">
        <f>$C$36</f>
        <v>Grid/Transmission Risk</v>
      </c>
      <c r="D479" s="57"/>
      <c r="E479" s="57"/>
      <c r="F479" s="57"/>
      <c r="G479" s="8"/>
      <c r="H479" s="8"/>
      <c r="I479" s="11"/>
      <c r="J479" s="1128"/>
      <c r="K479" s="1128"/>
      <c r="L479" s="1423">
        <v>0</v>
      </c>
      <c r="M479" s="1423">
        <v>0</v>
      </c>
      <c r="N479" s="1430">
        <v>0</v>
      </c>
      <c r="O479" s="1425">
        <v>0</v>
      </c>
      <c r="P479" s="1426">
        <v>0</v>
      </c>
      <c r="Q479" s="1431">
        <v>0</v>
      </c>
      <c r="R479" s="1432">
        <v>0</v>
      </c>
      <c r="S479" s="1433">
        <v>0</v>
      </c>
      <c r="T479" s="8"/>
      <c r="U479" s="8"/>
      <c r="V479" s="713"/>
      <c r="W479" s="713"/>
      <c r="X479" s="713"/>
      <c r="Y479" s="713"/>
      <c r="Z479" s="713"/>
      <c r="AA479" s="713"/>
      <c r="AB479" s="713"/>
      <c r="AC479" s="713"/>
      <c r="AD479" s="713"/>
      <c r="AE479" s="713"/>
      <c r="AF479" s="713"/>
      <c r="AG479" s="713"/>
      <c r="AH479" s="713"/>
      <c r="AI479" s="713"/>
      <c r="AJ479" s="713"/>
      <c r="AK479" s="713"/>
      <c r="AL479" s="713"/>
      <c r="AM479" s="713"/>
      <c r="AN479" s="713"/>
      <c r="AO479" s="713"/>
      <c r="AP479" s="713"/>
      <c r="AQ479" s="715"/>
    </row>
    <row r="480" spans="1:43" s="707" customFormat="1" ht="12.75" customHeight="1" x14ac:dyDescent="0.25">
      <c r="A480" s="8"/>
      <c r="B480" s="8"/>
      <c r="C480" s="836" t="str">
        <f>$C$37</f>
        <v>Counterparty Risk</v>
      </c>
      <c r="D480" s="57"/>
      <c r="E480" s="57"/>
      <c r="F480" s="57"/>
      <c r="G480" s="8"/>
      <c r="H480" s="8"/>
      <c r="I480" s="11"/>
      <c r="J480" s="1128"/>
      <c r="K480" s="1128"/>
      <c r="L480" s="1423">
        <v>0</v>
      </c>
      <c r="M480" s="1423">
        <v>0</v>
      </c>
      <c r="N480" s="1430">
        <v>0</v>
      </c>
      <c r="O480" s="1425">
        <v>0</v>
      </c>
      <c r="P480" s="1426">
        <v>0</v>
      </c>
      <c r="Q480" s="1431">
        <v>0</v>
      </c>
      <c r="R480" s="1432">
        <v>0</v>
      </c>
      <c r="S480" s="1433">
        <v>0</v>
      </c>
      <c r="T480" s="8"/>
      <c r="U480" s="8"/>
      <c r="V480" s="713"/>
      <c r="W480" s="713"/>
      <c r="X480" s="713"/>
      <c r="Y480" s="713"/>
      <c r="Z480" s="713"/>
      <c r="AA480" s="713"/>
      <c r="AB480" s="713"/>
      <c r="AC480" s="713"/>
      <c r="AD480" s="713"/>
      <c r="AE480" s="713"/>
      <c r="AF480" s="713"/>
      <c r="AG480" s="713"/>
      <c r="AH480" s="713"/>
      <c r="AI480" s="713"/>
      <c r="AJ480" s="713"/>
      <c r="AK480" s="713"/>
      <c r="AL480" s="713"/>
      <c r="AM480" s="713"/>
      <c r="AN480" s="713"/>
      <c r="AO480" s="713"/>
      <c r="AP480" s="713"/>
      <c r="AQ480" s="715"/>
    </row>
    <row r="481" spans="1:43" s="707" customFormat="1" ht="12.75" customHeight="1" x14ac:dyDescent="0.25">
      <c r="A481" s="8"/>
      <c r="B481" s="8"/>
      <c r="C481" s="836" t="str">
        <f>$C$38</f>
        <v>Financial Sector Risk</v>
      </c>
      <c r="D481" s="57"/>
      <c r="E481" s="57"/>
      <c r="F481" s="57"/>
      <c r="G481" s="8"/>
      <c r="H481" s="8"/>
      <c r="I481" s="11"/>
      <c r="J481" s="1128"/>
      <c r="K481" s="1128"/>
      <c r="L481" s="1423">
        <v>0</v>
      </c>
      <c r="M481" s="1423">
        <v>0</v>
      </c>
      <c r="N481" s="1430">
        <v>0</v>
      </c>
      <c r="O481" s="1425">
        <v>0</v>
      </c>
      <c r="P481" s="1426">
        <v>0</v>
      </c>
      <c r="Q481" s="1431">
        <v>0</v>
      </c>
      <c r="R481" s="1432">
        <v>0</v>
      </c>
      <c r="S481" s="1433">
        <v>0</v>
      </c>
      <c r="T481" s="8"/>
      <c r="U481" s="8"/>
      <c r="V481" s="713"/>
      <c r="W481" s="713"/>
      <c r="X481" s="713"/>
      <c r="Y481" s="713"/>
      <c r="Z481" s="713"/>
      <c r="AA481" s="713"/>
      <c r="AB481" s="713"/>
      <c r="AC481" s="713"/>
      <c r="AD481" s="713"/>
      <c r="AE481" s="713"/>
      <c r="AF481" s="713"/>
      <c r="AG481" s="713"/>
      <c r="AH481" s="713"/>
      <c r="AI481" s="713"/>
      <c r="AJ481" s="713"/>
      <c r="AK481" s="713"/>
      <c r="AL481" s="713"/>
      <c r="AM481" s="713"/>
      <c r="AN481" s="713"/>
      <c r="AO481" s="713"/>
      <c r="AP481" s="713"/>
      <c r="AQ481" s="715"/>
    </row>
    <row r="482" spans="1:43" s="707" customFormat="1" ht="12.75" customHeight="1" x14ac:dyDescent="0.25">
      <c r="A482" s="8"/>
      <c r="B482" s="8"/>
      <c r="C482" s="836" t="str">
        <f>$C$39</f>
        <v>Political Risk</v>
      </c>
      <c r="D482" s="57"/>
      <c r="E482" s="57"/>
      <c r="F482" s="57"/>
      <c r="G482" s="8"/>
      <c r="H482" s="8"/>
      <c r="I482" s="11"/>
      <c r="J482" s="1128"/>
      <c r="K482" s="1128"/>
      <c r="L482" s="1423">
        <v>0</v>
      </c>
      <c r="M482" s="1423">
        <v>0</v>
      </c>
      <c r="N482" s="1430">
        <v>0</v>
      </c>
      <c r="O482" s="1425">
        <v>0</v>
      </c>
      <c r="P482" s="1426">
        <v>0</v>
      </c>
      <c r="Q482" s="1431">
        <v>0</v>
      </c>
      <c r="R482" s="1432">
        <v>0</v>
      </c>
      <c r="S482" s="1433">
        <v>0</v>
      </c>
      <c r="T482" s="8"/>
      <c r="U482" s="8"/>
      <c r="V482" s="713"/>
      <c r="W482" s="713"/>
      <c r="X482" s="713"/>
      <c r="Y482" s="713"/>
      <c r="Z482" s="713"/>
      <c r="AA482" s="713"/>
      <c r="AB482" s="713"/>
      <c r="AC482" s="713"/>
      <c r="AD482" s="713"/>
      <c r="AE482" s="713"/>
      <c r="AF482" s="713"/>
      <c r="AG482" s="713"/>
      <c r="AH482" s="713"/>
      <c r="AI482" s="713"/>
      <c r="AJ482" s="713"/>
      <c r="AK482" s="713"/>
      <c r="AL482" s="713"/>
      <c r="AM482" s="713"/>
      <c r="AN482" s="713"/>
      <c r="AO482" s="713"/>
      <c r="AP482" s="713"/>
      <c r="AQ482" s="715"/>
    </row>
    <row r="483" spans="1:43" s="707" customFormat="1" ht="12.75" customHeight="1" x14ac:dyDescent="0.25">
      <c r="A483" s="8"/>
      <c r="B483" s="8"/>
      <c r="C483" s="857" t="str">
        <f>$C$40</f>
        <v>Currency/Macro Risk</v>
      </c>
      <c r="D483" s="857"/>
      <c r="E483" s="857"/>
      <c r="F483" s="857"/>
      <c r="G483" s="857"/>
      <c r="H483" s="857"/>
      <c r="I483" s="857"/>
      <c r="J483" s="857"/>
      <c r="K483" s="857"/>
      <c r="L483" s="1434">
        <v>0</v>
      </c>
      <c r="M483" s="1423">
        <v>0</v>
      </c>
      <c r="N483" s="1430">
        <v>0</v>
      </c>
      <c r="O483" s="1435">
        <v>0</v>
      </c>
      <c r="P483" s="1436">
        <v>0</v>
      </c>
      <c r="Q483" s="1436">
        <v>0</v>
      </c>
      <c r="R483" s="1437">
        <v>0</v>
      </c>
      <c r="S483" s="1438">
        <v>0</v>
      </c>
      <c r="T483" s="8"/>
      <c r="U483" s="8"/>
      <c r="V483" s="713"/>
      <c r="W483" s="713"/>
      <c r="X483" s="713"/>
      <c r="Y483" s="713"/>
      <c r="Z483" s="713"/>
      <c r="AA483" s="713"/>
      <c r="AB483" s="713"/>
      <c r="AC483" s="713"/>
      <c r="AD483" s="713"/>
      <c r="AE483" s="713"/>
      <c r="AF483" s="713"/>
      <c r="AG483" s="713"/>
      <c r="AH483" s="713"/>
      <c r="AI483" s="713"/>
      <c r="AJ483" s="713"/>
      <c r="AK483" s="713"/>
      <c r="AL483" s="713"/>
      <c r="AM483" s="713"/>
      <c r="AN483" s="713"/>
      <c r="AO483" s="713"/>
      <c r="AP483" s="713"/>
      <c r="AQ483" s="715"/>
    </row>
    <row r="484" spans="1:43" s="707" customFormat="1" ht="12.75" customHeight="1" x14ac:dyDescent="0.25">
      <c r="A484" s="8"/>
      <c r="B484" s="8"/>
      <c r="C484" s="56" t="s">
        <v>81</v>
      </c>
      <c r="D484" s="132"/>
      <c r="E484" s="56"/>
      <c r="F484" s="57"/>
      <c r="G484" s="57"/>
      <c r="H484" s="57"/>
      <c r="I484" s="57"/>
      <c r="J484" s="57"/>
      <c r="K484" s="57"/>
      <c r="L484" s="1439">
        <v>0</v>
      </c>
      <c r="M484" s="1440">
        <v>0</v>
      </c>
      <c r="N484" s="1441">
        <v>0</v>
      </c>
      <c r="O484" s="1442">
        <v>0</v>
      </c>
      <c r="P484" s="1443">
        <v>0</v>
      </c>
      <c r="Q484" s="1444">
        <v>0</v>
      </c>
      <c r="R484" s="1445">
        <v>0</v>
      </c>
      <c r="S484" s="1446">
        <v>0</v>
      </c>
      <c r="T484" s="8"/>
      <c r="U484" s="8"/>
      <c r="V484" s="713"/>
      <c r="W484" s="713"/>
      <c r="X484" s="713"/>
      <c r="Y484" s="713"/>
      <c r="Z484" s="713"/>
      <c r="AA484" s="713"/>
      <c r="AB484" s="713"/>
      <c r="AC484" s="713"/>
      <c r="AD484" s="713"/>
      <c r="AE484" s="713"/>
      <c r="AF484" s="713"/>
      <c r="AG484" s="713"/>
      <c r="AH484" s="713"/>
      <c r="AI484" s="713"/>
      <c r="AJ484" s="713"/>
      <c r="AK484" s="713"/>
      <c r="AL484" s="713"/>
      <c r="AM484" s="713"/>
      <c r="AN484" s="713"/>
      <c r="AO484" s="713"/>
      <c r="AP484" s="713"/>
      <c r="AQ484" s="715"/>
    </row>
    <row r="485" spans="1:43" s="707" customFormat="1" ht="12.75" customHeight="1" x14ac:dyDescent="0.25">
      <c r="A485" s="8"/>
      <c r="B485" s="8"/>
      <c r="C485" s="8"/>
      <c r="D485" s="8"/>
      <c r="E485" s="8"/>
      <c r="F485" s="8"/>
      <c r="G485" s="8"/>
      <c r="H485" s="8"/>
      <c r="I485" s="11"/>
      <c r="J485" s="1128"/>
      <c r="K485" s="1128"/>
      <c r="L485" s="1128"/>
      <c r="M485" s="1128"/>
      <c r="N485" s="1128"/>
      <c r="O485" s="1128"/>
      <c r="P485" s="40"/>
      <c r="Q485" s="8"/>
      <c r="R485" s="8"/>
      <c r="S485" s="8"/>
      <c r="T485" s="8"/>
      <c r="U485" s="8"/>
      <c r="V485" s="713"/>
      <c r="W485" s="713"/>
      <c r="X485" s="713"/>
      <c r="Y485" s="713"/>
      <c r="Z485" s="713"/>
      <c r="AA485" s="713"/>
      <c r="AB485" s="713"/>
      <c r="AC485" s="713"/>
      <c r="AD485" s="713"/>
      <c r="AE485" s="713"/>
      <c r="AF485" s="713"/>
      <c r="AG485" s="713"/>
      <c r="AH485" s="713"/>
      <c r="AI485" s="713"/>
      <c r="AJ485" s="713"/>
      <c r="AK485" s="713"/>
      <c r="AL485" s="713"/>
      <c r="AM485" s="713"/>
      <c r="AN485" s="713"/>
      <c r="AO485" s="713"/>
      <c r="AP485" s="713"/>
      <c r="AQ485" s="715"/>
    </row>
    <row r="486" spans="1:43" s="707" customFormat="1" ht="12.75" customHeight="1" x14ac:dyDescent="0.25">
      <c r="A486" s="8"/>
      <c r="B486" s="8"/>
      <c r="C486" s="8"/>
      <c r="D486" s="8"/>
      <c r="E486" s="8"/>
      <c r="F486" s="8"/>
      <c r="G486" s="8"/>
      <c r="H486" s="8"/>
      <c r="I486" s="11"/>
      <c r="J486" s="1128"/>
      <c r="K486" s="1128"/>
      <c r="L486" s="1128"/>
      <c r="M486" s="1128"/>
      <c r="N486" s="1128"/>
      <c r="O486" s="1128"/>
      <c r="P486" s="40"/>
      <c r="Q486" s="8"/>
      <c r="R486" s="8"/>
      <c r="S486" s="8"/>
      <c r="T486" s="8"/>
      <c r="U486" s="8"/>
      <c r="V486" s="713"/>
      <c r="W486" s="713"/>
      <c r="X486" s="713"/>
      <c r="Y486" s="713"/>
      <c r="Z486" s="713"/>
      <c r="AA486" s="713"/>
      <c r="AB486" s="713"/>
      <c r="AC486" s="713"/>
      <c r="AD486" s="713"/>
      <c r="AE486" s="713"/>
      <c r="AF486" s="713"/>
      <c r="AG486" s="713"/>
      <c r="AH486" s="713"/>
      <c r="AI486" s="713"/>
      <c r="AJ486" s="713"/>
      <c r="AK486" s="713"/>
      <c r="AL486" s="713"/>
      <c r="AM486" s="713"/>
      <c r="AN486" s="713"/>
      <c r="AO486" s="713"/>
      <c r="AP486" s="713"/>
      <c r="AQ486" s="715"/>
    </row>
    <row r="487" spans="1:43" s="707" customFormat="1" ht="12.75" customHeight="1" x14ac:dyDescent="0.25">
      <c r="A487" s="8"/>
      <c r="B487" s="8"/>
      <c r="C487" s="8"/>
      <c r="D487" s="8"/>
      <c r="E487" s="8"/>
      <c r="F487" s="8"/>
      <c r="G487" s="8"/>
      <c r="H487" s="8"/>
      <c r="I487" s="11"/>
      <c r="J487" s="1128"/>
      <c r="K487" s="1128"/>
      <c r="L487" s="1128"/>
      <c r="M487" s="1128"/>
      <c r="N487" s="1128"/>
      <c r="O487" s="1128"/>
      <c r="P487" s="40"/>
      <c r="Q487" s="8"/>
      <c r="R487" s="8"/>
      <c r="S487" s="8"/>
      <c r="T487" s="8"/>
      <c r="U487" s="8"/>
      <c r="V487" s="713"/>
      <c r="W487" s="713"/>
      <c r="X487" s="713"/>
      <c r="Y487" s="713"/>
      <c r="Z487" s="713"/>
      <c r="AA487" s="713"/>
      <c r="AB487" s="713"/>
      <c r="AC487" s="713"/>
      <c r="AD487" s="713"/>
      <c r="AE487" s="713"/>
      <c r="AF487" s="713"/>
      <c r="AG487" s="713"/>
      <c r="AH487" s="713"/>
      <c r="AI487" s="713"/>
      <c r="AJ487" s="713"/>
      <c r="AK487" s="713"/>
      <c r="AL487" s="713"/>
      <c r="AM487" s="713"/>
      <c r="AN487" s="713"/>
      <c r="AO487" s="713"/>
      <c r="AP487" s="713"/>
      <c r="AQ487" s="715"/>
    </row>
    <row r="488" spans="1:43" s="707" customFormat="1" ht="12.75" customHeight="1" x14ac:dyDescent="0.25">
      <c r="A488" s="8"/>
      <c r="B488" s="8"/>
      <c r="C488" s="8"/>
      <c r="D488" s="8"/>
      <c r="E488" s="8"/>
      <c r="F488" s="8"/>
      <c r="G488" s="8"/>
      <c r="H488" s="8"/>
      <c r="I488" s="8"/>
      <c r="J488" s="1127"/>
      <c r="K488" s="1127"/>
      <c r="L488" s="1127"/>
      <c r="M488" s="1127"/>
      <c r="N488" s="1518" t="s">
        <v>464</v>
      </c>
      <c r="O488" s="1553"/>
      <c r="P488" s="1553"/>
      <c r="Q488" s="1554"/>
      <c r="R488" s="8"/>
      <c r="S488" s="8"/>
      <c r="T488" s="8"/>
      <c r="U488" s="8"/>
      <c r="V488" s="713"/>
      <c r="W488" s="713"/>
      <c r="X488" s="713"/>
      <c r="Y488" s="713"/>
      <c r="Z488" s="713"/>
      <c r="AA488" s="713"/>
      <c r="AB488" s="713"/>
      <c r="AC488" s="713"/>
      <c r="AD488" s="713"/>
      <c r="AE488" s="713"/>
      <c r="AF488" s="713"/>
      <c r="AG488" s="713"/>
      <c r="AH488" s="713"/>
      <c r="AI488" s="713"/>
      <c r="AJ488" s="713"/>
      <c r="AK488" s="713"/>
      <c r="AL488" s="713"/>
      <c r="AM488" s="713"/>
      <c r="AN488" s="713"/>
      <c r="AO488" s="713"/>
      <c r="AP488" s="713"/>
      <c r="AQ488" s="715"/>
    </row>
    <row r="489" spans="1:43" s="707" customFormat="1" ht="12.75" customHeight="1" x14ac:dyDescent="0.25">
      <c r="A489" s="8"/>
      <c r="B489" s="8"/>
      <c r="C489" s="8"/>
      <c r="D489" s="8"/>
      <c r="E489" s="8"/>
      <c r="F489" s="8"/>
      <c r="G489" s="8"/>
      <c r="H489" s="8"/>
      <c r="I489" s="8"/>
      <c r="J489" s="1127"/>
      <c r="K489" s="1127"/>
      <c r="L489" s="1127"/>
      <c r="M489" s="1127"/>
      <c r="N489" s="1501" t="s">
        <v>200</v>
      </c>
      <c r="O489" s="1502"/>
      <c r="P489" s="1503" t="s">
        <v>201</v>
      </c>
      <c r="Q489" s="1504"/>
      <c r="R489" s="8"/>
      <c r="S489" s="8"/>
      <c r="T489" s="8"/>
      <c r="U489" s="8"/>
      <c r="V489" s="713"/>
      <c r="W489" s="713"/>
      <c r="X489" s="713"/>
      <c r="Y489" s="713"/>
      <c r="Z489" s="713"/>
      <c r="AA489" s="713"/>
      <c r="AB489" s="713"/>
      <c r="AC489" s="713"/>
      <c r="AD489" s="713"/>
      <c r="AE489" s="713"/>
      <c r="AF489" s="713"/>
      <c r="AG489" s="713"/>
      <c r="AH489" s="713"/>
      <c r="AI489" s="713"/>
      <c r="AJ489" s="713"/>
      <c r="AK489" s="713"/>
      <c r="AL489" s="713"/>
      <c r="AM489" s="713"/>
      <c r="AN489" s="713"/>
      <c r="AO489" s="713"/>
      <c r="AP489" s="713"/>
      <c r="AQ489" s="715"/>
    </row>
    <row r="490" spans="1:43" s="707" customFormat="1" ht="12.75" customHeight="1" x14ac:dyDescent="0.25">
      <c r="A490" s="8"/>
      <c r="B490" s="8"/>
      <c r="C490" s="11" t="s">
        <v>465</v>
      </c>
      <c r="D490" s="711"/>
      <c r="E490" s="11"/>
      <c r="F490" s="11"/>
      <c r="G490" s="11"/>
      <c r="H490" s="11"/>
      <c r="I490" s="11"/>
      <c r="J490" s="1128" t="s">
        <v>614</v>
      </c>
      <c r="K490" s="1128"/>
      <c r="L490" s="1128"/>
      <c r="M490" s="1128"/>
      <c r="N490" s="1977">
        <v>0</v>
      </c>
      <c r="O490" s="1978"/>
      <c r="P490" s="1979">
        <v>0</v>
      </c>
      <c r="Q490" s="1980"/>
      <c r="R490" s="8"/>
      <c r="S490" s="8"/>
      <c r="T490" s="8"/>
      <c r="U490" s="8"/>
      <c r="V490" s="713"/>
      <c r="W490" s="713"/>
      <c r="X490" s="713"/>
      <c r="Y490" s="713"/>
      <c r="Z490" s="713"/>
      <c r="AA490" s="713"/>
      <c r="AB490" s="713"/>
      <c r="AC490" s="713"/>
      <c r="AD490" s="713"/>
      <c r="AE490" s="713"/>
      <c r="AF490" s="713"/>
      <c r="AG490" s="713"/>
      <c r="AH490" s="713"/>
      <c r="AI490" s="713"/>
      <c r="AJ490" s="713"/>
      <c r="AK490" s="713"/>
      <c r="AL490" s="713"/>
      <c r="AM490" s="713"/>
      <c r="AN490" s="713"/>
      <c r="AO490" s="713"/>
      <c r="AP490" s="713"/>
      <c r="AQ490" s="715"/>
    </row>
    <row r="491" spans="1:43" s="707" customFormat="1" ht="12.75" customHeight="1" x14ac:dyDescent="0.25">
      <c r="A491" s="8"/>
      <c r="B491" s="8"/>
      <c r="C491" s="711"/>
      <c r="D491" s="8" t="s">
        <v>466</v>
      </c>
      <c r="E491" s="711"/>
      <c r="F491" s="11"/>
      <c r="G491" s="11"/>
      <c r="H491" s="11"/>
      <c r="I491" s="11"/>
      <c r="J491" s="1127" t="s">
        <v>614</v>
      </c>
      <c r="K491" s="1127"/>
      <c r="L491" s="1127"/>
      <c r="M491" s="1128"/>
      <c r="N491" s="2009">
        <v>0</v>
      </c>
      <c r="O491" s="2010"/>
      <c r="P491" s="2011">
        <v>0</v>
      </c>
      <c r="Q491" s="2012"/>
      <c r="R491" s="8"/>
      <c r="S491" s="8"/>
      <c r="T491" s="8"/>
      <c r="U491" s="8"/>
      <c r="V491" s="713"/>
      <c r="W491" s="713"/>
      <c r="X491" s="713"/>
      <c r="Y491" s="713"/>
      <c r="Z491" s="713"/>
      <c r="AA491" s="713"/>
      <c r="AB491" s="713"/>
      <c r="AC491" s="713"/>
      <c r="AD491" s="713"/>
      <c r="AE491" s="713"/>
      <c r="AF491" s="713"/>
      <c r="AG491" s="713"/>
      <c r="AH491" s="713"/>
      <c r="AI491" s="713"/>
      <c r="AJ491" s="713"/>
      <c r="AK491" s="713"/>
      <c r="AL491" s="713"/>
      <c r="AM491" s="713"/>
      <c r="AN491" s="713"/>
      <c r="AO491" s="713"/>
      <c r="AP491" s="713"/>
      <c r="AQ491" s="715"/>
    </row>
    <row r="492" spans="1:43" s="707" customFormat="1" ht="12.75" customHeight="1" x14ac:dyDescent="0.25">
      <c r="A492" s="8"/>
      <c r="B492" s="8"/>
      <c r="C492" s="711"/>
      <c r="D492" s="8" t="s">
        <v>496</v>
      </c>
      <c r="E492" s="711"/>
      <c r="F492" s="11"/>
      <c r="G492" s="11"/>
      <c r="H492" s="11"/>
      <c r="I492" s="11"/>
      <c r="J492" s="1170" t="s">
        <v>614</v>
      </c>
      <c r="K492" s="1170"/>
      <c r="L492" s="1170"/>
      <c r="M492" s="1171"/>
      <c r="N492" s="2013">
        <v>0</v>
      </c>
      <c r="O492" s="2014"/>
      <c r="P492" s="2015">
        <v>0</v>
      </c>
      <c r="Q492" s="2016"/>
      <c r="R492" s="8"/>
      <c r="S492" s="8"/>
      <c r="T492" s="8"/>
      <c r="U492" s="8"/>
      <c r="V492" s="713"/>
      <c r="W492" s="713"/>
      <c r="X492" s="713"/>
      <c r="Y492" s="713"/>
      <c r="Z492" s="713"/>
      <c r="AA492" s="713"/>
      <c r="AB492" s="713"/>
      <c r="AC492" s="713"/>
      <c r="AD492" s="713"/>
      <c r="AE492" s="713"/>
      <c r="AF492" s="713"/>
      <c r="AG492" s="713"/>
      <c r="AH492" s="713"/>
      <c r="AI492" s="713"/>
      <c r="AJ492" s="713"/>
      <c r="AK492" s="713"/>
      <c r="AL492" s="713"/>
      <c r="AM492" s="713"/>
      <c r="AN492" s="713"/>
      <c r="AO492" s="713"/>
      <c r="AP492" s="713"/>
      <c r="AQ492" s="715"/>
    </row>
    <row r="493" spans="1:43" s="707" customFormat="1" ht="12.75" customHeight="1" x14ac:dyDescent="0.25">
      <c r="A493" s="8"/>
      <c r="B493" s="8"/>
      <c r="C493" s="8"/>
      <c r="D493" s="8"/>
      <c r="E493" s="8"/>
      <c r="F493" s="8"/>
      <c r="G493" s="8"/>
      <c r="H493" s="8"/>
      <c r="I493" s="11"/>
      <c r="J493" s="1128"/>
      <c r="K493" s="1128"/>
      <c r="L493" s="1128"/>
      <c r="M493" s="1128"/>
      <c r="N493" s="1128"/>
      <c r="O493" s="1128"/>
      <c r="P493" s="40"/>
      <c r="Q493" s="8"/>
      <c r="R493" s="8"/>
      <c r="S493" s="8"/>
      <c r="T493" s="8"/>
      <c r="U493" s="8"/>
      <c r="V493" s="713"/>
      <c r="W493" s="713"/>
      <c r="X493" s="713"/>
      <c r="Y493" s="713"/>
      <c r="Z493" s="713"/>
      <c r="AA493" s="713"/>
      <c r="AB493" s="713"/>
      <c r="AC493" s="713"/>
      <c r="AD493" s="713"/>
      <c r="AE493" s="713"/>
      <c r="AF493" s="713"/>
      <c r="AG493" s="713"/>
      <c r="AH493" s="713"/>
      <c r="AI493" s="713"/>
      <c r="AJ493" s="713"/>
      <c r="AK493" s="713"/>
      <c r="AL493" s="713"/>
      <c r="AM493" s="713"/>
      <c r="AN493" s="713"/>
      <c r="AO493" s="713"/>
      <c r="AP493" s="713"/>
      <c r="AQ493" s="715"/>
    </row>
    <row r="494" spans="1:43" s="707" customFormat="1" ht="12.75" customHeight="1" x14ac:dyDescent="0.25">
      <c r="A494" s="8"/>
      <c r="B494" s="8"/>
      <c r="C494" s="8"/>
      <c r="D494" s="8"/>
      <c r="E494" s="8"/>
      <c r="F494" s="8"/>
      <c r="G494" s="8"/>
      <c r="H494" s="8"/>
      <c r="I494" s="8"/>
      <c r="J494" s="1128"/>
      <c r="K494" s="1128"/>
      <c r="L494" s="1128"/>
      <c r="M494" s="1128"/>
      <c r="N494" s="1583" t="s">
        <v>464</v>
      </c>
      <c r="O494" s="1584"/>
      <c r="P494" s="1584"/>
      <c r="Q494" s="1585"/>
      <c r="R494" s="8"/>
      <c r="S494" s="8"/>
      <c r="T494" s="8"/>
      <c r="U494" s="8"/>
      <c r="V494" s="713"/>
      <c r="W494" s="713"/>
      <c r="X494" s="713"/>
      <c r="Y494" s="713"/>
      <c r="Z494" s="713"/>
      <c r="AA494" s="713"/>
      <c r="AB494" s="713"/>
      <c r="AC494" s="713"/>
      <c r="AD494" s="713"/>
      <c r="AE494" s="713"/>
      <c r="AF494" s="713"/>
      <c r="AG494" s="713"/>
      <c r="AH494" s="713"/>
      <c r="AI494" s="713"/>
      <c r="AJ494" s="713"/>
      <c r="AK494" s="713"/>
      <c r="AL494" s="713"/>
      <c r="AM494" s="713"/>
      <c r="AN494" s="713"/>
      <c r="AO494" s="713"/>
      <c r="AP494" s="713"/>
      <c r="AQ494" s="715"/>
    </row>
    <row r="495" spans="1:43" s="707" customFormat="1" ht="12.75" customHeight="1" x14ac:dyDescent="0.25">
      <c r="A495" s="8"/>
      <c r="B495" s="8"/>
      <c r="C495" s="11"/>
      <c r="D495" s="11"/>
      <c r="E495" s="11"/>
      <c r="F495" s="11"/>
      <c r="G495" s="11"/>
      <c r="H495" s="11"/>
      <c r="I495" s="8"/>
      <c r="J495" s="1128"/>
      <c r="K495" s="1128"/>
      <c r="L495" s="1128"/>
      <c r="M495" s="1128"/>
      <c r="N495" s="1501" t="s">
        <v>200</v>
      </c>
      <c r="O495" s="1502"/>
      <c r="P495" s="1503" t="s">
        <v>201</v>
      </c>
      <c r="Q495" s="1504"/>
      <c r="R495" s="8"/>
      <c r="S495" s="8"/>
      <c r="T495" s="8"/>
      <c r="U495" s="8"/>
      <c r="V495" s="713"/>
      <c r="W495" s="713"/>
      <c r="X495" s="713"/>
      <c r="Y495" s="713"/>
      <c r="Z495" s="713"/>
      <c r="AA495" s="713"/>
      <c r="AB495" s="713"/>
      <c r="AC495" s="713"/>
      <c r="AD495" s="713"/>
      <c r="AE495" s="713"/>
      <c r="AF495" s="713"/>
      <c r="AG495" s="713"/>
      <c r="AH495" s="713"/>
      <c r="AI495" s="713"/>
      <c r="AJ495" s="713"/>
      <c r="AK495" s="713"/>
      <c r="AL495" s="713"/>
      <c r="AM495" s="713"/>
      <c r="AN495" s="713"/>
      <c r="AO495" s="713"/>
      <c r="AP495" s="713"/>
      <c r="AQ495" s="715"/>
    </row>
    <row r="496" spans="1:43" s="707" customFormat="1" ht="12.75" customHeight="1" x14ac:dyDescent="0.25">
      <c r="A496" s="8"/>
      <c r="B496" s="8"/>
      <c r="C496" s="11" t="s">
        <v>146</v>
      </c>
      <c r="D496" s="11"/>
      <c r="E496" s="11"/>
      <c r="F496" s="11"/>
      <c r="G496" s="11"/>
      <c r="H496" s="11"/>
      <c r="I496" s="8"/>
      <c r="J496" s="1128"/>
      <c r="K496" s="1128"/>
      <c r="L496" s="1128"/>
      <c r="M496" s="1128"/>
      <c r="N496" s="1644"/>
      <c r="O496" s="1645"/>
      <c r="P496" s="1640"/>
      <c r="Q496" s="1641"/>
      <c r="R496" s="8"/>
      <c r="S496" s="8"/>
      <c r="T496" s="8"/>
      <c r="U496" s="8"/>
      <c r="V496" s="713"/>
      <c r="W496" s="713"/>
      <c r="X496" s="713"/>
      <c r="Y496" s="713"/>
      <c r="Z496" s="713"/>
      <c r="AA496" s="713"/>
      <c r="AB496" s="713"/>
      <c r="AC496" s="713"/>
      <c r="AD496" s="713"/>
      <c r="AE496" s="713"/>
      <c r="AF496" s="713"/>
      <c r="AG496" s="713"/>
      <c r="AH496" s="713"/>
      <c r="AI496" s="713"/>
      <c r="AJ496" s="713"/>
      <c r="AK496" s="713"/>
      <c r="AL496" s="713"/>
      <c r="AM496" s="713"/>
      <c r="AN496" s="713"/>
      <c r="AO496" s="713"/>
      <c r="AP496" s="713"/>
      <c r="AQ496" s="715"/>
    </row>
    <row r="497" spans="1:43" s="707" customFormat="1" ht="12.75" customHeight="1" x14ac:dyDescent="0.25">
      <c r="A497" s="8"/>
      <c r="B497" s="8"/>
      <c r="C497" s="11"/>
      <c r="D497" s="11" t="s">
        <v>245</v>
      </c>
      <c r="E497" s="11"/>
      <c r="F497" s="11"/>
      <c r="G497" s="11"/>
      <c r="H497" s="11"/>
      <c r="I497" s="8"/>
      <c r="J497" s="1128"/>
      <c r="K497" s="1128"/>
      <c r="L497" s="1128"/>
      <c r="M497" s="1128"/>
      <c r="N497" s="1985">
        <v>0</v>
      </c>
      <c r="O497" s="1986"/>
      <c r="P497" s="1987">
        <v>0</v>
      </c>
      <c r="Q497" s="1988"/>
      <c r="R497" s="8"/>
      <c r="S497" s="8"/>
      <c r="T497" s="8"/>
      <c r="U497" s="8"/>
      <c r="V497" s="713"/>
      <c r="W497" s="713"/>
      <c r="X497" s="713"/>
      <c r="Y497" s="713"/>
      <c r="Z497" s="713"/>
      <c r="AA497" s="713"/>
      <c r="AB497" s="713"/>
      <c r="AC497" s="713"/>
      <c r="AD497" s="713"/>
      <c r="AE497" s="713"/>
      <c r="AF497" s="713"/>
      <c r="AG497" s="713"/>
      <c r="AH497" s="713"/>
      <c r="AI497" s="713"/>
      <c r="AJ497" s="713"/>
      <c r="AK497" s="713"/>
      <c r="AL497" s="713"/>
      <c r="AM497" s="713"/>
      <c r="AN497" s="713"/>
      <c r="AO497" s="713"/>
      <c r="AP497" s="713"/>
      <c r="AQ497" s="715"/>
    </row>
    <row r="498" spans="1:43" s="707" customFormat="1" ht="12.75" customHeight="1" x14ac:dyDescent="0.25">
      <c r="A498" s="8"/>
      <c r="B498" s="8"/>
      <c r="C498" s="8"/>
      <c r="D498" s="8" t="s">
        <v>471</v>
      </c>
      <c r="E498" s="8"/>
      <c r="F498" s="8"/>
      <c r="G498" s="8"/>
      <c r="H498" s="8"/>
      <c r="I498" s="8"/>
      <c r="J498" s="1127" t="s">
        <v>154</v>
      </c>
      <c r="K498" s="1127"/>
      <c r="L498" s="1127"/>
      <c r="M498" s="1127"/>
      <c r="N498" s="1995">
        <v>0</v>
      </c>
      <c r="O498" s="1996"/>
      <c r="P498" s="1993">
        <v>0</v>
      </c>
      <c r="Q498" s="1994"/>
      <c r="R498" s="8"/>
      <c r="S498" s="8"/>
      <c r="T498" s="8"/>
      <c r="U498" s="8"/>
      <c r="V498" s="713"/>
      <c r="W498" s="713"/>
      <c r="X498" s="713"/>
      <c r="Y498" s="713"/>
      <c r="Z498" s="713"/>
      <c r="AA498" s="713"/>
      <c r="AB498" s="713"/>
      <c r="AC498" s="713"/>
      <c r="AD498" s="713"/>
      <c r="AE498" s="713"/>
      <c r="AF498" s="713"/>
      <c r="AG498" s="713"/>
      <c r="AH498" s="713"/>
      <c r="AI498" s="713"/>
      <c r="AJ498" s="713"/>
      <c r="AK498" s="713"/>
      <c r="AL498" s="713"/>
      <c r="AM498" s="713"/>
      <c r="AN498" s="713"/>
      <c r="AO498" s="713"/>
      <c r="AP498" s="713"/>
      <c r="AQ498" s="715"/>
    </row>
    <row r="499" spans="1:43" s="707" customFormat="1" ht="12.75" customHeight="1" x14ac:dyDescent="0.25">
      <c r="A499" s="8"/>
      <c r="B499" s="8"/>
      <c r="C499" s="8"/>
      <c r="D499" s="1129" t="s">
        <v>533</v>
      </c>
      <c r="E499" s="8"/>
      <c r="F499" s="8"/>
      <c r="G499" s="8"/>
      <c r="H499" s="8"/>
      <c r="I499" s="8"/>
      <c r="J499" s="1127" t="s">
        <v>154</v>
      </c>
      <c r="K499" s="1127"/>
      <c r="L499" s="1127"/>
      <c r="M499" s="1127"/>
      <c r="N499" s="1995">
        <v>0</v>
      </c>
      <c r="O499" s="1996"/>
      <c r="P499" s="1993">
        <v>0</v>
      </c>
      <c r="Q499" s="1994"/>
      <c r="R499" s="8"/>
      <c r="S499" s="8"/>
      <c r="T499" s="8"/>
      <c r="U499" s="8"/>
      <c r="V499" s="713"/>
      <c r="W499" s="713"/>
      <c r="X499" s="713"/>
      <c r="Y499" s="713"/>
      <c r="Z499" s="713"/>
      <c r="AA499" s="713"/>
      <c r="AB499" s="713"/>
      <c r="AC499" s="713"/>
      <c r="AD499" s="713"/>
      <c r="AE499" s="713"/>
      <c r="AF499" s="713"/>
      <c r="AG499" s="713"/>
      <c r="AH499" s="713"/>
      <c r="AI499" s="713"/>
      <c r="AJ499" s="713"/>
      <c r="AK499" s="713"/>
      <c r="AL499" s="713"/>
      <c r="AM499" s="713"/>
      <c r="AN499" s="713"/>
      <c r="AO499" s="713"/>
      <c r="AP499" s="713"/>
      <c r="AQ499" s="715"/>
    </row>
    <row r="500" spans="1:43" s="707" customFormat="1" ht="12.75" customHeight="1" x14ac:dyDescent="0.25">
      <c r="A500" s="8"/>
      <c r="B500" s="8"/>
      <c r="C500" s="8"/>
      <c r="D500" s="8" t="s">
        <v>306</v>
      </c>
      <c r="E500" s="8"/>
      <c r="F500" s="8"/>
      <c r="G500" s="8"/>
      <c r="H500" s="8"/>
      <c r="I500" s="8"/>
      <c r="J500" s="1127" t="s">
        <v>154</v>
      </c>
      <c r="K500" s="1127"/>
      <c r="L500" s="1127"/>
      <c r="M500" s="1127"/>
      <c r="N500" s="1995">
        <v>0</v>
      </c>
      <c r="O500" s="1996"/>
      <c r="P500" s="1993">
        <v>0</v>
      </c>
      <c r="Q500" s="1994"/>
      <c r="R500" s="8"/>
      <c r="S500" s="8"/>
      <c r="T500" s="8"/>
      <c r="U500" s="8"/>
      <c r="V500" s="713"/>
      <c r="W500" s="713"/>
      <c r="X500" s="713"/>
      <c r="Y500" s="713"/>
      <c r="Z500" s="713"/>
      <c r="AA500" s="713"/>
      <c r="AB500" s="713"/>
      <c r="AC500" s="713"/>
      <c r="AD500" s="713"/>
      <c r="AE500" s="713"/>
      <c r="AF500" s="713"/>
      <c r="AG500" s="713"/>
      <c r="AH500" s="713"/>
      <c r="AI500" s="713"/>
      <c r="AJ500" s="713"/>
      <c r="AK500" s="713"/>
      <c r="AL500" s="713"/>
      <c r="AM500" s="713"/>
      <c r="AN500" s="713"/>
      <c r="AO500" s="713"/>
      <c r="AP500" s="713"/>
      <c r="AQ500" s="715"/>
    </row>
    <row r="501" spans="1:43" s="707" customFormat="1" ht="12.75" customHeight="1" x14ac:dyDescent="0.25">
      <c r="A501" s="8"/>
      <c r="B501" s="8"/>
      <c r="C501" s="8"/>
      <c r="D501" s="8" t="s">
        <v>305</v>
      </c>
      <c r="E501" s="8"/>
      <c r="F501" s="8"/>
      <c r="G501" s="8"/>
      <c r="H501" s="8"/>
      <c r="I501" s="8"/>
      <c r="J501" s="1127" t="s">
        <v>154</v>
      </c>
      <c r="K501" s="1127"/>
      <c r="L501" s="1127"/>
      <c r="M501" s="1127"/>
      <c r="N501" s="1995">
        <v>0</v>
      </c>
      <c r="O501" s="1996"/>
      <c r="P501" s="1993">
        <v>0</v>
      </c>
      <c r="Q501" s="1994"/>
      <c r="R501" s="8"/>
      <c r="S501" s="8"/>
      <c r="T501" s="8"/>
      <c r="U501" s="8"/>
      <c r="V501" s="713"/>
      <c r="W501" s="713"/>
      <c r="X501" s="713"/>
      <c r="Y501" s="713"/>
      <c r="Z501" s="713"/>
      <c r="AA501" s="713"/>
      <c r="AB501" s="713"/>
      <c r="AC501" s="713"/>
      <c r="AD501" s="713"/>
      <c r="AE501" s="713"/>
      <c r="AF501" s="713"/>
      <c r="AG501" s="713"/>
      <c r="AH501" s="713"/>
      <c r="AI501" s="713"/>
      <c r="AJ501" s="713"/>
      <c r="AK501" s="713"/>
      <c r="AL501" s="713"/>
      <c r="AM501" s="713"/>
      <c r="AN501" s="713"/>
      <c r="AO501" s="713"/>
      <c r="AP501" s="713"/>
      <c r="AQ501" s="715"/>
    </row>
    <row r="502" spans="1:43" s="707" customFormat="1" ht="12.75" customHeight="1" x14ac:dyDescent="0.25">
      <c r="A502" s="8"/>
      <c r="B502" s="8"/>
      <c r="C502" s="8"/>
      <c r="D502" s="8"/>
      <c r="E502" s="8"/>
      <c r="F502" s="8"/>
      <c r="G502" s="8"/>
      <c r="H502" s="8"/>
      <c r="I502" s="8"/>
      <c r="J502" s="1127"/>
      <c r="K502" s="1127"/>
      <c r="L502" s="1127"/>
      <c r="M502" s="1127"/>
      <c r="N502" s="1413"/>
      <c r="O502" s="1414"/>
      <c r="P502" s="1415"/>
      <c r="Q502" s="1416"/>
      <c r="R502" s="8"/>
      <c r="S502" s="8"/>
      <c r="T502" s="8"/>
      <c r="U502" s="8"/>
      <c r="V502" s="713"/>
      <c r="W502" s="713"/>
      <c r="X502" s="713"/>
      <c r="Y502" s="713"/>
      <c r="Z502" s="713"/>
      <c r="AA502" s="713"/>
      <c r="AB502" s="713"/>
      <c r="AC502" s="713"/>
      <c r="AD502" s="713"/>
      <c r="AE502" s="713"/>
      <c r="AF502" s="713"/>
      <c r="AG502" s="713"/>
      <c r="AH502" s="713"/>
      <c r="AI502" s="713"/>
      <c r="AJ502" s="713"/>
      <c r="AK502" s="713"/>
      <c r="AL502" s="713"/>
      <c r="AM502" s="713"/>
      <c r="AN502" s="713"/>
      <c r="AO502" s="713"/>
      <c r="AP502" s="713"/>
      <c r="AQ502" s="715"/>
    </row>
    <row r="503" spans="1:43" s="707" customFormat="1" ht="12.75" customHeight="1" x14ac:dyDescent="0.25">
      <c r="A503" s="8"/>
      <c r="B503" s="8"/>
      <c r="C503" s="11" t="s">
        <v>147</v>
      </c>
      <c r="D503" s="8"/>
      <c r="E503" s="8"/>
      <c r="F503" s="8"/>
      <c r="G503" s="8"/>
      <c r="H503" s="8"/>
      <c r="I503" s="8"/>
      <c r="J503" s="1127"/>
      <c r="K503" s="1127"/>
      <c r="L503" s="1127"/>
      <c r="M503" s="1127"/>
      <c r="N503" s="1413"/>
      <c r="O503" s="1414"/>
      <c r="P503" s="1415"/>
      <c r="Q503" s="1416"/>
      <c r="R503" s="8"/>
      <c r="S503" s="8"/>
      <c r="T503" s="8"/>
      <c r="U503" s="8"/>
      <c r="V503" s="713"/>
      <c r="W503" s="713"/>
      <c r="X503" s="713"/>
      <c r="Y503" s="713"/>
      <c r="Z503" s="713"/>
      <c r="AA503" s="713"/>
      <c r="AB503" s="713"/>
      <c r="AC503" s="713"/>
      <c r="AD503" s="713"/>
      <c r="AE503" s="713"/>
      <c r="AF503" s="713"/>
      <c r="AG503" s="713"/>
      <c r="AH503" s="713"/>
      <c r="AI503" s="713"/>
      <c r="AJ503" s="713"/>
      <c r="AK503" s="713"/>
      <c r="AL503" s="713"/>
      <c r="AM503" s="713"/>
      <c r="AN503" s="713"/>
      <c r="AO503" s="713"/>
      <c r="AP503" s="713"/>
      <c r="AQ503" s="715"/>
    </row>
    <row r="504" spans="1:43" s="707" customFormat="1" ht="12.75" customHeight="1" x14ac:dyDescent="0.25">
      <c r="A504" s="8"/>
      <c r="B504" s="8"/>
      <c r="C504" s="8"/>
      <c r="D504" s="11" t="s">
        <v>245</v>
      </c>
      <c r="E504" s="11"/>
      <c r="F504" s="11"/>
      <c r="G504" s="11"/>
      <c r="H504" s="11"/>
      <c r="I504" s="8"/>
      <c r="J504" s="1128"/>
      <c r="K504" s="1128"/>
      <c r="L504" s="1128"/>
      <c r="M504" s="1128"/>
      <c r="N504" s="1995"/>
      <c r="O504" s="2019"/>
      <c r="P504" s="1987">
        <v>0</v>
      </c>
      <c r="Q504" s="1988"/>
      <c r="R504" s="8"/>
      <c r="S504" s="8"/>
      <c r="T504" s="8"/>
      <c r="U504" s="8"/>
      <c r="V504" s="713"/>
      <c r="W504" s="713"/>
      <c r="X504" s="713"/>
      <c r="Y504" s="713"/>
      <c r="Z504" s="713"/>
      <c r="AA504" s="713"/>
      <c r="AB504" s="713"/>
      <c r="AC504" s="713"/>
      <c r="AD504" s="713"/>
      <c r="AE504" s="713"/>
      <c r="AF504" s="713"/>
      <c r="AG504" s="713"/>
      <c r="AH504" s="713"/>
      <c r="AI504" s="713"/>
      <c r="AJ504" s="713"/>
      <c r="AK504" s="713"/>
      <c r="AL504" s="713"/>
      <c r="AM504" s="713"/>
      <c r="AN504" s="713"/>
      <c r="AO504" s="713"/>
      <c r="AP504" s="713"/>
      <c r="AQ504" s="715"/>
    </row>
    <row r="505" spans="1:43" s="707" customFormat="1" ht="12.75" customHeight="1" x14ac:dyDescent="0.25">
      <c r="A505" s="8"/>
      <c r="B505" s="8"/>
      <c r="C505" s="8"/>
      <c r="D505" s="8" t="s">
        <v>306</v>
      </c>
      <c r="E505" s="8"/>
      <c r="F505" s="8"/>
      <c r="G505" s="8"/>
      <c r="H505" s="8"/>
      <c r="I505" s="8"/>
      <c r="J505" s="1127" t="s">
        <v>154</v>
      </c>
      <c r="K505" s="1127"/>
      <c r="L505" s="1127"/>
      <c r="M505" s="1127"/>
      <c r="N505" s="1995">
        <v>0</v>
      </c>
      <c r="O505" s="1996"/>
      <c r="P505" s="1993">
        <v>0</v>
      </c>
      <c r="Q505" s="1994"/>
      <c r="R505" s="8"/>
      <c r="S505" s="8"/>
      <c r="T505" s="8"/>
      <c r="U505" s="8"/>
      <c r="V505" s="713"/>
      <c r="W505" s="713"/>
      <c r="X505" s="713"/>
      <c r="Y505" s="713"/>
      <c r="Z505" s="713"/>
      <c r="AA505" s="713"/>
      <c r="AB505" s="713"/>
      <c r="AC505" s="713"/>
      <c r="AD505" s="713"/>
      <c r="AE505" s="713"/>
      <c r="AF505" s="713"/>
      <c r="AG505" s="713"/>
      <c r="AH505" s="713"/>
      <c r="AI505" s="713"/>
      <c r="AJ505" s="713"/>
      <c r="AK505" s="713"/>
      <c r="AL505" s="713"/>
      <c r="AM505" s="713"/>
      <c r="AN505" s="713"/>
      <c r="AO505" s="713"/>
      <c r="AP505" s="713"/>
      <c r="AQ505" s="715"/>
    </row>
    <row r="506" spans="1:43" s="707" customFormat="1" ht="12.75" customHeight="1" x14ac:dyDescent="0.25">
      <c r="A506" s="8"/>
      <c r="B506" s="8"/>
      <c r="C506" s="8"/>
      <c r="D506" s="8" t="s">
        <v>305</v>
      </c>
      <c r="E506" s="8"/>
      <c r="F506" s="8"/>
      <c r="G506" s="8"/>
      <c r="H506" s="8"/>
      <c r="I506" s="8"/>
      <c r="J506" s="1127" t="s">
        <v>154</v>
      </c>
      <c r="K506" s="1127"/>
      <c r="L506" s="1127"/>
      <c r="M506" s="1127"/>
      <c r="N506" s="1995">
        <v>0</v>
      </c>
      <c r="O506" s="1996"/>
      <c r="P506" s="1993">
        <v>0</v>
      </c>
      <c r="Q506" s="1994"/>
      <c r="R506" s="8"/>
      <c r="S506" s="8"/>
      <c r="T506" s="8"/>
      <c r="U506" s="8"/>
      <c r="V506" s="713"/>
      <c r="W506" s="713"/>
      <c r="X506" s="713"/>
      <c r="Y506" s="713"/>
      <c r="Z506" s="713"/>
      <c r="AA506" s="713"/>
      <c r="AB506" s="713"/>
      <c r="AC506" s="713"/>
      <c r="AD506" s="713"/>
      <c r="AE506" s="713"/>
      <c r="AF506" s="713"/>
      <c r="AG506" s="713"/>
      <c r="AH506" s="713"/>
      <c r="AI506" s="713"/>
      <c r="AJ506" s="713"/>
      <c r="AK506" s="713"/>
      <c r="AL506" s="713"/>
      <c r="AM506" s="713"/>
      <c r="AN506" s="713"/>
      <c r="AO506" s="713"/>
      <c r="AP506" s="713"/>
      <c r="AQ506" s="715"/>
    </row>
    <row r="507" spans="1:43" s="707" customFormat="1" ht="12.75" customHeight="1" x14ac:dyDescent="0.25">
      <c r="A507" s="8"/>
      <c r="B507" s="8"/>
      <c r="C507" s="8"/>
      <c r="D507" s="1634" t="s">
        <v>534</v>
      </c>
      <c r="E507" s="1634"/>
      <c r="F507" s="1634"/>
      <c r="G507" s="1634"/>
      <c r="H507" s="1634"/>
      <c r="I507" s="1634"/>
      <c r="J507" s="1127" t="s">
        <v>154</v>
      </c>
      <c r="K507" s="1127"/>
      <c r="L507" s="1127"/>
      <c r="M507" s="1127"/>
      <c r="N507" s="1995">
        <v>0</v>
      </c>
      <c r="O507" s="1996"/>
      <c r="P507" s="1993">
        <v>0</v>
      </c>
      <c r="Q507" s="1994"/>
      <c r="R507" s="29"/>
      <c r="S507" s="8"/>
      <c r="T507" s="8"/>
      <c r="U507" s="8"/>
      <c r="V507" s="713"/>
      <c r="W507" s="713"/>
      <c r="X507" s="713"/>
      <c r="Y507" s="713"/>
      <c r="Z507" s="713"/>
      <c r="AA507" s="713"/>
      <c r="AB507" s="713"/>
      <c r="AC507" s="713"/>
      <c r="AD507" s="713"/>
      <c r="AE507" s="713"/>
      <c r="AF507" s="713"/>
      <c r="AG507" s="713"/>
      <c r="AH507" s="713"/>
      <c r="AI507" s="713"/>
      <c r="AJ507" s="713"/>
      <c r="AK507" s="713"/>
      <c r="AL507" s="713"/>
      <c r="AM507" s="713"/>
      <c r="AN507" s="713"/>
      <c r="AO507" s="713"/>
      <c r="AP507" s="713"/>
      <c r="AQ507" s="715"/>
    </row>
    <row r="508" spans="1:43" s="707" customFormat="1" ht="12.75" customHeight="1" x14ac:dyDescent="0.25">
      <c r="A508" s="756"/>
      <c r="B508" s="8"/>
      <c r="C508" s="8"/>
      <c r="D508" s="1634" t="s">
        <v>535</v>
      </c>
      <c r="E508" s="1634"/>
      <c r="F508" s="1634"/>
      <c r="G508" s="1634"/>
      <c r="H508" s="1634"/>
      <c r="I508" s="1634"/>
      <c r="J508" s="1127" t="s">
        <v>154</v>
      </c>
      <c r="K508" s="1127"/>
      <c r="L508" s="1127"/>
      <c r="M508" s="1127"/>
      <c r="N508" s="1995"/>
      <c r="O508" s="1996"/>
      <c r="P508" s="1993">
        <v>0</v>
      </c>
      <c r="Q508" s="1994"/>
      <c r="R508" s="8"/>
      <c r="S508" s="8"/>
      <c r="T508" s="8"/>
      <c r="U508" s="8"/>
      <c r="V508" s="713"/>
      <c r="W508" s="713"/>
      <c r="X508" s="713"/>
      <c r="Y508" s="713"/>
      <c r="Z508" s="713"/>
      <c r="AA508" s="713"/>
      <c r="AB508" s="713"/>
      <c r="AC508" s="713"/>
      <c r="AD508" s="713"/>
      <c r="AE508" s="713"/>
      <c r="AF508" s="713"/>
      <c r="AG508" s="713"/>
      <c r="AH508" s="713"/>
      <c r="AI508" s="713"/>
      <c r="AJ508" s="713"/>
      <c r="AK508" s="713"/>
      <c r="AL508" s="713"/>
      <c r="AM508" s="713"/>
      <c r="AN508" s="713"/>
      <c r="AO508" s="713"/>
      <c r="AP508" s="713"/>
      <c r="AQ508" s="715"/>
    </row>
    <row r="509" spans="1:43" s="707" customFormat="1" ht="12.75" customHeight="1" x14ac:dyDescent="0.25">
      <c r="A509" s="8"/>
      <c r="B509" s="8"/>
      <c r="C509" s="8"/>
      <c r="D509" s="8"/>
      <c r="E509" s="8"/>
      <c r="F509" s="8"/>
      <c r="G509" s="8"/>
      <c r="H509" s="8"/>
      <c r="I509" s="8"/>
      <c r="J509" s="1127"/>
      <c r="K509" s="1127"/>
      <c r="L509" s="1127"/>
      <c r="M509" s="1127"/>
      <c r="N509" s="1413"/>
      <c r="O509" s="1414"/>
      <c r="P509" s="1415"/>
      <c r="Q509" s="1416"/>
      <c r="R509" s="8"/>
      <c r="S509" s="8"/>
      <c r="T509" s="8"/>
      <c r="U509" s="8"/>
      <c r="V509" s="713"/>
      <c r="W509" s="713"/>
      <c r="X509" s="713"/>
      <c r="Y509" s="713"/>
      <c r="Z509" s="713"/>
      <c r="AA509" s="713"/>
      <c r="AB509" s="713"/>
      <c r="AC509" s="713"/>
      <c r="AD509" s="713"/>
      <c r="AE509" s="713"/>
      <c r="AF509" s="713"/>
      <c r="AG509" s="713"/>
      <c r="AH509" s="713"/>
      <c r="AI509" s="713"/>
      <c r="AJ509" s="713"/>
      <c r="AK509" s="713"/>
      <c r="AL509" s="713"/>
      <c r="AM509" s="713"/>
      <c r="AN509" s="713"/>
      <c r="AO509" s="713"/>
      <c r="AP509" s="713"/>
      <c r="AQ509" s="715"/>
    </row>
    <row r="510" spans="1:43" s="707" customFormat="1" ht="12.75" customHeight="1" x14ac:dyDescent="0.25">
      <c r="A510" s="8"/>
      <c r="B510" s="8"/>
      <c r="C510" s="11" t="s">
        <v>186</v>
      </c>
      <c r="D510" s="11"/>
      <c r="E510" s="11"/>
      <c r="F510" s="11"/>
      <c r="G510" s="11"/>
      <c r="H510" s="11"/>
      <c r="I510" s="8"/>
      <c r="J510" s="747"/>
      <c r="K510" s="747"/>
      <c r="L510" s="747"/>
      <c r="M510" s="747"/>
      <c r="N510" s="1989"/>
      <c r="O510" s="1990"/>
      <c r="P510" s="1991"/>
      <c r="Q510" s="1992"/>
      <c r="R510" s="8"/>
      <c r="S510" s="8"/>
      <c r="T510" s="8"/>
      <c r="U510" s="8"/>
      <c r="V510" s="713"/>
      <c r="W510" s="713"/>
      <c r="X510" s="713"/>
      <c r="Y510" s="713"/>
      <c r="Z510" s="713"/>
      <c r="AA510" s="713"/>
      <c r="AB510" s="713"/>
      <c r="AC510" s="713"/>
      <c r="AD510" s="713"/>
      <c r="AE510" s="713"/>
      <c r="AF510" s="713"/>
      <c r="AG510" s="713"/>
      <c r="AH510" s="713"/>
      <c r="AI510" s="713"/>
      <c r="AJ510" s="713"/>
      <c r="AK510" s="713"/>
      <c r="AL510" s="713"/>
      <c r="AM510" s="713"/>
      <c r="AN510" s="713"/>
      <c r="AO510" s="713"/>
      <c r="AP510" s="713"/>
      <c r="AQ510" s="715"/>
    </row>
    <row r="511" spans="1:43" s="707" customFormat="1" ht="12.75" customHeight="1" x14ac:dyDescent="0.25">
      <c r="A511" s="8"/>
      <c r="B511" s="8"/>
      <c r="C511" s="8"/>
      <c r="D511" s="8" t="s">
        <v>472</v>
      </c>
      <c r="E511" s="8"/>
      <c r="F511" s="8"/>
      <c r="G511" s="8"/>
      <c r="H511" s="8"/>
      <c r="I511" s="8"/>
      <c r="J511" s="1127" t="s">
        <v>614</v>
      </c>
      <c r="K511" s="1127"/>
      <c r="L511" s="1127"/>
      <c r="M511" s="1127"/>
      <c r="N511" s="2001">
        <v>0</v>
      </c>
      <c r="O511" s="2002"/>
      <c r="P511" s="2003">
        <v>0</v>
      </c>
      <c r="Q511" s="2004"/>
      <c r="R511" s="8"/>
      <c r="S511" s="8"/>
      <c r="T511" s="8"/>
      <c r="U511" s="8"/>
      <c r="V511" s="713"/>
      <c r="W511" s="713"/>
      <c r="X511" s="713"/>
      <c r="Y511" s="713"/>
      <c r="Z511" s="713"/>
      <c r="AA511" s="713"/>
      <c r="AB511" s="713"/>
      <c r="AC511" s="713"/>
      <c r="AD511" s="713"/>
      <c r="AE511" s="713"/>
      <c r="AF511" s="713"/>
      <c r="AG511" s="713"/>
      <c r="AH511" s="713"/>
      <c r="AI511" s="713"/>
      <c r="AJ511" s="713"/>
      <c r="AK511" s="713"/>
      <c r="AL511" s="713"/>
      <c r="AM511" s="713"/>
      <c r="AN511" s="713"/>
      <c r="AO511" s="713"/>
      <c r="AP511" s="713"/>
      <c r="AQ511" s="715"/>
    </row>
    <row r="512" spans="1:43" s="707" customFormat="1" ht="12.75" customHeight="1" x14ac:dyDescent="0.25">
      <c r="A512" s="8"/>
      <c r="B512" s="8"/>
      <c r="C512" s="8"/>
      <c r="D512" s="8" t="s">
        <v>473</v>
      </c>
      <c r="E512" s="8"/>
      <c r="F512" s="8"/>
      <c r="G512" s="8"/>
      <c r="H512" s="8"/>
      <c r="I512" s="8"/>
      <c r="J512" s="1127" t="s">
        <v>16</v>
      </c>
      <c r="K512" s="1127"/>
      <c r="L512" s="1127"/>
      <c r="M512" s="1127"/>
      <c r="N512" s="1417"/>
      <c r="O512" s="1414"/>
      <c r="P512" s="2017">
        <v>0</v>
      </c>
      <c r="Q512" s="2018"/>
      <c r="R512" s="8"/>
      <c r="S512" s="8"/>
      <c r="T512" s="8"/>
      <c r="U512" s="8"/>
      <c r="V512" s="713"/>
      <c r="W512" s="713"/>
      <c r="X512" s="713"/>
      <c r="Y512" s="713"/>
      <c r="Z512" s="713"/>
      <c r="AA512" s="713"/>
      <c r="AB512" s="713"/>
      <c r="AC512" s="713"/>
      <c r="AD512" s="713"/>
      <c r="AE512" s="713"/>
      <c r="AF512" s="713"/>
      <c r="AG512" s="713"/>
      <c r="AH512" s="713"/>
      <c r="AI512" s="713"/>
      <c r="AJ512" s="713"/>
      <c r="AK512" s="713"/>
      <c r="AL512" s="713"/>
      <c r="AM512" s="713"/>
      <c r="AN512" s="713"/>
      <c r="AO512" s="713"/>
      <c r="AP512" s="713"/>
      <c r="AQ512" s="715"/>
    </row>
    <row r="513" spans="1:45" s="707" customFormat="1" ht="12.75" customHeight="1" x14ac:dyDescent="0.25">
      <c r="A513" s="8"/>
      <c r="B513" s="8"/>
      <c r="C513" s="8"/>
      <c r="D513" s="8" t="s">
        <v>276</v>
      </c>
      <c r="E513" s="8"/>
      <c r="F513" s="8"/>
      <c r="G513" s="8"/>
      <c r="H513" s="8"/>
      <c r="I513" s="8"/>
      <c r="J513" s="1127" t="s">
        <v>614</v>
      </c>
      <c r="K513" s="1127"/>
      <c r="L513" s="1127"/>
      <c r="M513" s="1127"/>
      <c r="N513" s="2001">
        <v>0</v>
      </c>
      <c r="O513" s="2002"/>
      <c r="P513" s="2003">
        <v>0</v>
      </c>
      <c r="Q513" s="2004"/>
      <c r="R513" s="8"/>
      <c r="S513" s="8"/>
      <c r="T513" s="8"/>
      <c r="U513" s="8"/>
      <c r="V513" s="713"/>
      <c r="W513" s="713"/>
      <c r="X513" s="713"/>
      <c r="Y513" s="713"/>
      <c r="Z513" s="713"/>
      <c r="AA513" s="713"/>
      <c r="AB513" s="713"/>
      <c r="AC513" s="713"/>
      <c r="AD513" s="713"/>
      <c r="AE513" s="713"/>
      <c r="AF513" s="713"/>
      <c r="AG513" s="713"/>
      <c r="AH513" s="713"/>
      <c r="AI513" s="713"/>
      <c r="AJ513" s="713"/>
      <c r="AK513" s="713"/>
      <c r="AL513" s="713"/>
      <c r="AM513" s="713"/>
      <c r="AN513" s="713"/>
      <c r="AO513" s="713"/>
      <c r="AP513" s="713"/>
      <c r="AQ513" s="715"/>
    </row>
    <row r="514" spans="1:45" s="707" customFormat="1" ht="12.75" customHeight="1" x14ac:dyDescent="0.25">
      <c r="A514" s="8"/>
      <c r="B514" s="8"/>
      <c r="C514" s="8"/>
      <c r="D514" s="8" t="s">
        <v>307</v>
      </c>
      <c r="E514" s="8"/>
      <c r="F514" s="8"/>
      <c r="G514" s="8"/>
      <c r="H514" s="8"/>
      <c r="I514" s="8"/>
      <c r="J514" s="1127" t="s">
        <v>614</v>
      </c>
      <c r="K514" s="1127"/>
      <c r="L514" s="1127"/>
      <c r="M514" s="1127"/>
      <c r="N514" s="2001">
        <v>0</v>
      </c>
      <c r="O514" s="2002"/>
      <c r="P514" s="2003">
        <v>0</v>
      </c>
      <c r="Q514" s="2004"/>
      <c r="R514" s="8"/>
      <c r="S514" s="8"/>
      <c r="T514" s="8"/>
      <c r="U514" s="8"/>
      <c r="V514" s="713"/>
      <c r="W514" s="713"/>
      <c r="X514" s="713"/>
      <c r="Y514" s="713"/>
      <c r="Z514" s="713"/>
      <c r="AA514" s="713"/>
      <c r="AB514" s="713"/>
      <c r="AC514" s="713"/>
      <c r="AD514" s="713"/>
      <c r="AE514" s="713"/>
      <c r="AF514" s="713"/>
      <c r="AG514" s="713"/>
      <c r="AH514" s="713"/>
      <c r="AI514" s="713"/>
      <c r="AJ514" s="713"/>
      <c r="AK514" s="713"/>
      <c r="AL514" s="713"/>
      <c r="AM514" s="713"/>
      <c r="AN514" s="713"/>
      <c r="AO514" s="713"/>
      <c r="AP514" s="713"/>
      <c r="AQ514" s="715"/>
    </row>
    <row r="515" spans="1:45" s="707" customFormat="1" ht="12.75" customHeight="1" x14ac:dyDescent="0.25">
      <c r="A515" s="8"/>
      <c r="B515" s="8"/>
      <c r="C515" s="8"/>
      <c r="D515" s="8"/>
      <c r="E515" s="8"/>
      <c r="F515" s="8"/>
      <c r="G515" s="8"/>
      <c r="H515" s="8"/>
      <c r="I515" s="8"/>
      <c r="J515" s="1127"/>
      <c r="K515" s="1127"/>
      <c r="L515" s="1127"/>
      <c r="M515" s="1127"/>
      <c r="N515" s="1417"/>
      <c r="O515" s="1418"/>
      <c r="P515" s="1419"/>
      <c r="Q515" s="1420"/>
      <c r="R515" s="8"/>
      <c r="S515" s="8"/>
      <c r="T515" s="8"/>
      <c r="U515" s="8"/>
      <c r="V515" s="713"/>
      <c r="W515" s="713"/>
      <c r="X515" s="713"/>
      <c r="Y515" s="713"/>
      <c r="Z515" s="713"/>
      <c r="AA515" s="713"/>
      <c r="AB515" s="713"/>
      <c r="AC515" s="713"/>
      <c r="AD515" s="713"/>
      <c r="AE515" s="713"/>
      <c r="AF515" s="713"/>
      <c r="AG515" s="713"/>
      <c r="AH515" s="713"/>
      <c r="AI515" s="713"/>
      <c r="AJ515" s="713"/>
      <c r="AK515" s="713"/>
      <c r="AL515" s="713"/>
      <c r="AM515" s="713"/>
      <c r="AN515" s="713"/>
      <c r="AO515" s="713"/>
      <c r="AP515" s="713"/>
      <c r="AQ515" s="715"/>
    </row>
    <row r="516" spans="1:45" s="707" customFormat="1" ht="12.75" customHeight="1" x14ac:dyDescent="0.25">
      <c r="A516" s="8"/>
      <c r="B516" s="8"/>
      <c r="C516" s="11" t="s">
        <v>148</v>
      </c>
      <c r="D516" s="11"/>
      <c r="E516" s="11"/>
      <c r="F516" s="11"/>
      <c r="G516" s="11"/>
      <c r="H516" s="11"/>
      <c r="I516" s="8"/>
      <c r="J516" s="747"/>
      <c r="K516" s="747"/>
      <c r="L516" s="747"/>
      <c r="M516" s="747"/>
      <c r="N516" s="1989"/>
      <c r="O516" s="1990"/>
      <c r="P516" s="1991"/>
      <c r="Q516" s="1992"/>
      <c r="R516" s="8"/>
      <c r="S516" s="8"/>
      <c r="T516" s="8"/>
      <c r="U516" s="8"/>
      <c r="V516" s="713"/>
      <c r="W516" s="713"/>
      <c r="X516" s="713"/>
      <c r="Y516" s="713"/>
      <c r="Z516" s="713"/>
      <c r="AA516" s="713"/>
      <c r="AB516" s="713"/>
      <c r="AC516" s="713"/>
      <c r="AD516" s="713"/>
      <c r="AE516" s="713"/>
      <c r="AF516" s="713"/>
      <c r="AG516" s="713"/>
      <c r="AH516" s="713"/>
      <c r="AI516" s="713"/>
      <c r="AJ516" s="713"/>
      <c r="AK516" s="713"/>
      <c r="AL516" s="713"/>
      <c r="AM516" s="713"/>
      <c r="AN516" s="713"/>
      <c r="AO516" s="713"/>
      <c r="AP516" s="713"/>
      <c r="AQ516" s="715"/>
    </row>
    <row r="517" spans="1:45" s="711" customFormat="1" ht="12.75" customHeight="1" x14ac:dyDescent="0.25">
      <c r="A517" s="710"/>
      <c r="B517" s="8"/>
      <c r="C517" s="8"/>
      <c r="D517" s="8"/>
      <c r="E517" s="1411" t="s">
        <v>629</v>
      </c>
      <c r="F517" s="8"/>
      <c r="G517" s="8"/>
      <c r="H517" s="8"/>
      <c r="I517" s="8"/>
      <c r="J517" s="1409" t="s">
        <v>617</v>
      </c>
      <c r="K517" s="1409"/>
      <c r="L517" s="1409"/>
      <c r="M517" s="1409"/>
      <c r="N517" s="1967">
        <v>0</v>
      </c>
      <c r="O517" s="1968"/>
      <c r="P517" s="1969">
        <v>0</v>
      </c>
      <c r="Q517" s="1970"/>
      <c r="R517" s="8"/>
      <c r="S517" s="8"/>
      <c r="T517" s="8"/>
      <c r="U517" s="8"/>
      <c r="V517" s="713"/>
      <c r="W517" s="713"/>
      <c r="X517" s="713"/>
      <c r="Y517" s="713"/>
      <c r="Z517" s="713"/>
      <c r="AA517" s="713"/>
      <c r="AB517" s="713"/>
      <c r="AC517" s="713"/>
      <c r="AD517" s="713"/>
      <c r="AE517" s="713"/>
      <c r="AF517" s="713"/>
      <c r="AG517" s="713"/>
      <c r="AH517" s="713"/>
      <c r="AI517" s="713"/>
      <c r="AJ517" s="713"/>
      <c r="AK517" s="713"/>
      <c r="AL517" s="713"/>
      <c r="AM517" s="713"/>
      <c r="AN517" s="713"/>
      <c r="AO517" s="713"/>
      <c r="AP517" s="714"/>
      <c r="AQ517" s="715"/>
      <c r="AR517" s="707"/>
      <c r="AS517" s="707"/>
    </row>
    <row r="518" spans="1:45" s="711" customFormat="1" ht="12.75" customHeight="1" x14ac:dyDescent="0.25">
      <c r="A518" s="710"/>
      <c r="B518" s="8"/>
      <c r="C518" s="8"/>
      <c r="D518" s="8"/>
      <c r="E518" s="1411" t="s">
        <v>630</v>
      </c>
      <c r="F518" s="8"/>
      <c r="G518" s="8"/>
      <c r="H518" s="8"/>
      <c r="I518" s="8"/>
      <c r="J518" s="1409" t="s">
        <v>617</v>
      </c>
      <c r="K518" s="1409"/>
      <c r="L518" s="1409"/>
      <c r="M518" s="1409"/>
      <c r="N518" s="1967">
        <v>0</v>
      </c>
      <c r="O518" s="1968"/>
      <c r="P518" s="1969">
        <v>0</v>
      </c>
      <c r="Q518" s="1970"/>
      <c r="R518" s="8"/>
      <c r="S518" s="8"/>
      <c r="T518" s="8"/>
      <c r="U518" s="8"/>
      <c r="V518" s="713"/>
      <c r="W518" s="713"/>
      <c r="X518" s="713"/>
      <c r="Y518" s="713"/>
      <c r="Z518" s="713"/>
      <c r="AA518" s="713"/>
      <c r="AB518" s="713"/>
      <c r="AC518" s="713"/>
      <c r="AD518" s="713"/>
      <c r="AE518" s="713"/>
      <c r="AF518" s="713"/>
      <c r="AG518" s="713"/>
      <c r="AH518" s="713"/>
      <c r="AI518" s="713"/>
      <c r="AJ518" s="713"/>
      <c r="AK518" s="713"/>
      <c r="AL518" s="713"/>
      <c r="AM518" s="713"/>
      <c r="AN518" s="713"/>
      <c r="AO518" s="713"/>
      <c r="AP518" s="714"/>
      <c r="AQ518" s="715"/>
      <c r="AR518" s="707"/>
      <c r="AS518" s="707"/>
    </row>
    <row r="519" spans="1:45" s="711" customFormat="1" ht="12.75" customHeight="1" x14ac:dyDescent="0.25">
      <c r="A519" s="710"/>
      <c r="B519" s="8"/>
      <c r="C519" s="8"/>
      <c r="D519" s="8"/>
      <c r="E519" s="1411" t="s">
        <v>631</v>
      </c>
      <c r="F519" s="8"/>
      <c r="G519" s="8"/>
      <c r="H519" s="8"/>
      <c r="I519" s="8"/>
      <c r="J519" s="1409" t="s">
        <v>617</v>
      </c>
      <c r="K519" s="1409"/>
      <c r="L519" s="1409"/>
      <c r="M519" s="1409"/>
      <c r="N519" s="1967">
        <v>0</v>
      </c>
      <c r="O519" s="1968"/>
      <c r="P519" s="1969">
        <v>0</v>
      </c>
      <c r="Q519" s="1970"/>
      <c r="R519" s="8"/>
      <c r="S519" s="8"/>
      <c r="T519" s="8"/>
      <c r="U519" s="8"/>
      <c r="V519" s="713"/>
      <c r="W519" s="713"/>
      <c r="X519" s="713"/>
      <c r="Y519" s="713"/>
      <c r="Z519" s="713"/>
      <c r="AA519" s="713"/>
      <c r="AB519" s="713"/>
      <c r="AC519" s="713"/>
      <c r="AD519" s="713"/>
      <c r="AE519" s="713"/>
      <c r="AF519" s="713"/>
      <c r="AG519" s="713"/>
      <c r="AH519" s="713"/>
      <c r="AI519" s="713"/>
      <c r="AJ519" s="713"/>
      <c r="AK519" s="713"/>
      <c r="AL519" s="713"/>
      <c r="AM519" s="713"/>
      <c r="AN519" s="713"/>
      <c r="AO519" s="713"/>
      <c r="AP519" s="714"/>
      <c r="AQ519" s="715"/>
      <c r="AR519" s="707"/>
      <c r="AS519" s="707"/>
    </row>
    <row r="520" spans="1:45" s="711" customFormat="1" ht="12.75" customHeight="1" x14ac:dyDescent="0.25">
      <c r="A520" s="710"/>
      <c r="B520" s="11"/>
      <c r="C520" s="11"/>
      <c r="D520" s="11" t="s">
        <v>632</v>
      </c>
      <c r="E520" s="11"/>
      <c r="F520" s="11"/>
      <c r="G520" s="11"/>
      <c r="H520" s="11"/>
      <c r="I520" s="11"/>
      <c r="J520" s="1410" t="s">
        <v>617</v>
      </c>
      <c r="K520" s="1410"/>
      <c r="L520" s="1410"/>
      <c r="M520" s="1410"/>
      <c r="N520" s="1971">
        <v>0</v>
      </c>
      <c r="O520" s="1972"/>
      <c r="P520" s="1973">
        <v>0</v>
      </c>
      <c r="Q520" s="1974"/>
      <c r="R520" s="11"/>
      <c r="S520" s="11"/>
      <c r="T520" s="11"/>
      <c r="U520" s="11"/>
      <c r="V520" s="714"/>
      <c r="W520" s="714"/>
      <c r="X520" s="714"/>
      <c r="Y520" s="714"/>
      <c r="Z520" s="714"/>
      <c r="AA520" s="714"/>
      <c r="AB520" s="714"/>
      <c r="AC520" s="714"/>
      <c r="AD520" s="714"/>
      <c r="AE520" s="714"/>
      <c r="AF520" s="714"/>
      <c r="AG520" s="714"/>
      <c r="AH520" s="714"/>
      <c r="AI520" s="714"/>
      <c r="AJ520" s="714"/>
      <c r="AK520" s="714"/>
      <c r="AL520" s="714"/>
      <c r="AM520" s="714"/>
      <c r="AN520" s="714"/>
      <c r="AO520" s="714"/>
      <c r="AP520" s="714"/>
      <c r="AQ520" s="1412"/>
    </row>
    <row r="521" spans="1:45" s="711" customFormat="1" ht="12.75" customHeight="1" x14ac:dyDescent="0.25">
      <c r="A521" s="710"/>
      <c r="B521" s="8"/>
      <c r="C521" s="8"/>
      <c r="D521" s="8" t="s">
        <v>628</v>
      </c>
      <c r="E521" s="8"/>
      <c r="F521" s="8"/>
      <c r="G521" s="8"/>
      <c r="H521" s="8"/>
      <c r="I521" s="8"/>
      <c r="J521" s="1409" t="s">
        <v>16</v>
      </c>
      <c r="K521" s="1409"/>
      <c r="L521" s="1409"/>
      <c r="M521" s="1409"/>
      <c r="N521" s="1421"/>
      <c r="O521" s="1422"/>
      <c r="P521" s="2024">
        <v>0</v>
      </c>
      <c r="Q521" s="2025"/>
      <c r="R521" s="8"/>
      <c r="S521" s="8"/>
      <c r="T521" s="8"/>
      <c r="U521" s="8"/>
      <c r="V521" s="713"/>
      <c r="W521" s="713"/>
      <c r="X521" s="713"/>
      <c r="Y521" s="713"/>
      <c r="Z521" s="713"/>
      <c r="AA521" s="713"/>
      <c r="AB521" s="713"/>
      <c r="AC521" s="713"/>
      <c r="AD521" s="713"/>
      <c r="AE521" s="713"/>
      <c r="AF521" s="713"/>
      <c r="AG521" s="713"/>
      <c r="AH521" s="713"/>
      <c r="AI521" s="713"/>
      <c r="AJ521" s="713"/>
      <c r="AK521" s="713"/>
      <c r="AL521" s="713"/>
      <c r="AM521" s="713"/>
      <c r="AN521" s="713"/>
      <c r="AO521" s="713"/>
      <c r="AP521" s="714"/>
      <c r="AQ521" s="715"/>
      <c r="AR521" s="707"/>
      <c r="AS521" s="707"/>
    </row>
    <row r="522" spans="1:45" s="707" customFormat="1" ht="12.75" customHeight="1" x14ac:dyDescent="0.25">
      <c r="A522" s="8"/>
      <c r="B522" s="8"/>
      <c r="C522" s="8"/>
      <c r="D522" s="1634" t="s">
        <v>536</v>
      </c>
      <c r="E522" s="1634"/>
      <c r="F522" s="1634"/>
      <c r="G522" s="1634"/>
      <c r="H522" s="1634"/>
      <c r="I522" s="1634"/>
      <c r="J522" s="1127" t="s">
        <v>366</v>
      </c>
      <c r="K522" s="1127"/>
      <c r="L522" s="1127"/>
      <c r="M522" s="1127"/>
      <c r="N522" s="2020">
        <v>0</v>
      </c>
      <c r="O522" s="2021"/>
      <c r="P522" s="2022">
        <v>0</v>
      </c>
      <c r="Q522" s="2023"/>
      <c r="R522" s="8"/>
      <c r="S522" s="8"/>
      <c r="T522" s="8"/>
      <c r="U522" s="8"/>
      <c r="V522" s="713"/>
      <c r="W522" s="713"/>
      <c r="X522" s="713"/>
      <c r="Y522" s="713"/>
      <c r="Z522" s="713"/>
      <c r="AA522" s="713"/>
      <c r="AB522" s="713"/>
      <c r="AC522" s="713"/>
      <c r="AD522" s="713"/>
      <c r="AE522" s="713"/>
      <c r="AF522" s="713"/>
      <c r="AG522" s="713"/>
      <c r="AH522" s="713"/>
      <c r="AI522" s="713"/>
      <c r="AJ522" s="713"/>
      <c r="AK522" s="713"/>
      <c r="AL522" s="713"/>
      <c r="AM522" s="713"/>
      <c r="AN522" s="713"/>
      <c r="AO522" s="713"/>
      <c r="AP522" s="713"/>
      <c r="AQ522" s="715"/>
    </row>
    <row r="523" spans="1:45" s="711" customFormat="1" ht="12.75" customHeight="1" x14ac:dyDescent="0.25">
      <c r="A523" s="710"/>
      <c r="B523" s="707"/>
      <c r="C523" s="707"/>
      <c r="F523" s="712"/>
      <c r="G523" s="712"/>
      <c r="H523" s="712"/>
      <c r="I523" s="712"/>
      <c r="J523" s="713"/>
      <c r="K523" s="713"/>
      <c r="L523" s="713"/>
      <c r="M523" s="713"/>
      <c r="N523" s="713"/>
      <c r="O523" s="713"/>
      <c r="P523" s="713"/>
      <c r="Q523" s="713"/>
      <c r="R523" s="713"/>
      <c r="S523" s="713"/>
      <c r="T523" s="713"/>
      <c r="U523" s="713"/>
      <c r="V523" s="713"/>
      <c r="W523" s="713"/>
      <c r="X523" s="713"/>
      <c r="Y523" s="713"/>
      <c r="Z523" s="713"/>
      <c r="AA523" s="713"/>
      <c r="AB523" s="713"/>
      <c r="AC523" s="713"/>
      <c r="AD523" s="713"/>
      <c r="AE523" s="713"/>
      <c r="AF523" s="713"/>
      <c r="AG523" s="713"/>
      <c r="AH523" s="713"/>
      <c r="AI523" s="713"/>
      <c r="AJ523" s="713"/>
      <c r="AK523" s="713"/>
      <c r="AL523" s="713"/>
      <c r="AM523" s="713"/>
      <c r="AN523" s="713"/>
      <c r="AO523" s="713"/>
      <c r="AP523" s="714"/>
      <c r="AQ523" s="715"/>
      <c r="AR523" s="707"/>
      <c r="AS523" s="707"/>
    </row>
    <row r="524" spans="1:45" s="711" customFormat="1" ht="12.75" customHeight="1" x14ac:dyDescent="0.25">
      <c r="A524" s="710"/>
      <c r="B524" s="52" t="s">
        <v>593</v>
      </c>
      <c r="C524" s="21"/>
      <c r="D524" s="21"/>
      <c r="E524" s="21"/>
      <c r="F524" s="21"/>
      <c r="G524" s="21"/>
      <c r="H524" s="21"/>
      <c r="I524" s="21"/>
      <c r="J524" s="22"/>
      <c r="K524" s="22"/>
      <c r="L524" s="22"/>
      <c r="M524" s="22"/>
      <c r="N524" s="22"/>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714"/>
      <c r="AQ524" s="715"/>
      <c r="AR524" s="707"/>
      <c r="AS524" s="707"/>
    </row>
    <row r="525" spans="1:45" s="711" customFormat="1" ht="12.75" customHeight="1" x14ac:dyDescent="0.25">
      <c r="A525" s="710"/>
      <c r="B525" s="707"/>
      <c r="C525" s="707"/>
      <c r="F525" s="712"/>
      <c r="G525" s="712"/>
      <c r="H525" s="712"/>
      <c r="I525" s="712"/>
      <c r="J525" s="713"/>
      <c r="K525" s="713"/>
      <c r="L525" s="713"/>
      <c r="M525" s="713"/>
      <c r="N525" s="713"/>
      <c r="O525" s="713"/>
      <c r="P525" s="713"/>
      <c r="Q525" s="713"/>
      <c r="R525" s="713"/>
      <c r="S525" s="713"/>
      <c r="T525" s="713"/>
      <c r="U525" s="713"/>
      <c r="V525" s="713"/>
      <c r="W525" s="713"/>
      <c r="X525" s="713"/>
      <c r="Y525" s="713"/>
      <c r="Z525" s="713"/>
      <c r="AA525" s="713"/>
      <c r="AB525" s="713"/>
      <c r="AC525" s="713"/>
      <c r="AD525" s="713"/>
      <c r="AE525" s="713"/>
      <c r="AF525" s="713"/>
      <c r="AG525" s="713"/>
      <c r="AH525" s="713"/>
      <c r="AI525" s="713"/>
      <c r="AJ525" s="713"/>
      <c r="AK525" s="713"/>
      <c r="AL525" s="713"/>
      <c r="AM525" s="713"/>
      <c r="AN525" s="713"/>
      <c r="AO525" s="713"/>
      <c r="AP525" s="714"/>
      <c r="AQ525" s="715"/>
      <c r="AR525" s="707"/>
      <c r="AS525" s="707"/>
    </row>
    <row r="526" spans="1:45" s="711" customFormat="1" ht="12.75" customHeight="1" x14ac:dyDescent="0.25">
      <c r="A526" s="710"/>
      <c r="B526" s="707"/>
      <c r="C526" s="2029" t="s">
        <v>613</v>
      </c>
      <c r="D526" s="2030"/>
      <c r="E526" s="2030"/>
      <c r="F526" s="2030"/>
      <c r="G526" s="2030"/>
      <c r="H526" s="2030"/>
      <c r="I526" s="2030"/>
      <c r="J526" s="2030"/>
      <c r="K526" s="2030"/>
      <c r="L526" s="2030"/>
      <c r="M526" s="2030"/>
      <c r="N526" s="2030"/>
      <c r="O526" s="2030"/>
      <c r="P526" s="2030"/>
      <c r="Q526" s="2031"/>
      <c r="R526" s="713"/>
      <c r="S526" s="713"/>
      <c r="T526" s="713"/>
      <c r="U526" s="713"/>
      <c r="V526" s="713"/>
      <c r="W526" s="713"/>
      <c r="X526" s="713"/>
      <c r="Y526" s="713"/>
      <c r="Z526" s="713"/>
      <c r="AA526" s="713"/>
      <c r="AB526" s="713"/>
      <c r="AC526" s="713"/>
      <c r="AD526" s="713"/>
      <c r="AE526" s="713"/>
      <c r="AF526" s="713"/>
      <c r="AG526" s="713"/>
      <c r="AH526" s="713"/>
      <c r="AI526" s="713"/>
      <c r="AJ526" s="713"/>
      <c r="AK526" s="713"/>
      <c r="AL526" s="713"/>
      <c r="AM526" s="713"/>
      <c r="AN526" s="713"/>
      <c r="AO526" s="713"/>
      <c r="AP526" s="714"/>
      <c r="AQ526" s="715"/>
      <c r="AR526" s="707"/>
      <c r="AS526" s="707"/>
    </row>
    <row r="527" spans="1:45" s="711" customFormat="1" ht="12.75" customHeight="1" x14ac:dyDescent="0.25">
      <c r="A527" s="710"/>
      <c r="B527" s="707"/>
      <c r="C527" s="2032"/>
      <c r="D527" s="2033"/>
      <c r="E527" s="2033"/>
      <c r="F527" s="2033"/>
      <c r="G527" s="2033"/>
      <c r="H527" s="2033"/>
      <c r="I527" s="2033"/>
      <c r="J527" s="2033"/>
      <c r="K527" s="2033"/>
      <c r="L527" s="2033"/>
      <c r="M527" s="2033"/>
      <c r="N527" s="2033"/>
      <c r="O527" s="2033"/>
      <c r="P527" s="2033"/>
      <c r="Q527" s="2034"/>
      <c r="R527" s="713"/>
      <c r="S527" s="713"/>
      <c r="T527" s="713"/>
      <c r="U527" s="713"/>
      <c r="V527" s="713"/>
      <c r="W527" s="713"/>
      <c r="X527" s="713"/>
      <c r="Y527" s="713"/>
      <c r="Z527" s="713"/>
      <c r="AA527" s="713"/>
      <c r="AB527" s="713"/>
      <c r="AC527" s="713"/>
      <c r="AD527" s="713"/>
      <c r="AE527" s="713"/>
      <c r="AF527" s="713"/>
      <c r="AG527" s="713"/>
      <c r="AH527" s="713"/>
      <c r="AI527" s="713"/>
      <c r="AJ527" s="713"/>
      <c r="AK527" s="713"/>
      <c r="AL527" s="713"/>
      <c r="AM527" s="713"/>
      <c r="AN527" s="713"/>
      <c r="AO527" s="713"/>
      <c r="AP527" s="714"/>
      <c r="AQ527" s="715"/>
      <c r="AR527" s="707"/>
      <c r="AS527" s="707"/>
    </row>
    <row r="528" spans="1:45" s="711" customFormat="1" ht="12.75" customHeight="1" x14ac:dyDescent="0.25">
      <c r="A528" s="710"/>
      <c r="B528" s="707"/>
      <c r="C528" s="2032"/>
      <c r="D528" s="2033"/>
      <c r="E528" s="2033"/>
      <c r="F528" s="2033"/>
      <c r="G528" s="2033"/>
      <c r="H528" s="2033"/>
      <c r="I528" s="2033"/>
      <c r="J528" s="2033"/>
      <c r="K528" s="2033"/>
      <c r="L528" s="2033"/>
      <c r="M528" s="2033"/>
      <c r="N528" s="2033"/>
      <c r="O528" s="2033"/>
      <c r="P528" s="2033"/>
      <c r="Q528" s="2034"/>
      <c r="R528" s="713"/>
      <c r="S528" s="713"/>
      <c r="T528" s="713"/>
      <c r="U528" s="713"/>
      <c r="V528" s="713"/>
      <c r="W528" s="713"/>
      <c r="X528" s="713"/>
      <c r="Y528" s="713"/>
      <c r="Z528" s="713"/>
      <c r="AA528" s="713"/>
      <c r="AB528" s="713"/>
      <c r="AC528" s="713"/>
      <c r="AD528" s="713"/>
      <c r="AE528" s="713"/>
      <c r="AF528" s="713"/>
      <c r="AG528" s="713"/>
      <c r="AH528" s="713"/>
      <c r="AI528" s="713"/>
      <c r="AJ528" s="713"/>
      <c r="AK528" s="713"/>
      <c r="AL528" s="713"/>
      <c r="AM528" s="713"/>
      <c r="AN528" s="713"/>
      <c r="AO528" s="713"/>
      <c r="AP528" s="714"/>
      <c r="AQ528" s="715"/>
      <c r="AR528" s="707"/>
      <c r="AS528" s="707"/>
    </row>
    <row r="529" spans="1:45" s="711" customFormat="1" ht="12.75" customHeight="1" x14ac:dyDescent="0.25">
      <c r="A529" s="710"/>
      <c r="B529" s="707"/>
      <c r="C529" s="2032"/>
      <c r="D529" s="2033"/>
      <c r="E529" s="2033"/>
      <c r="F529" s="2033"/>
      <c r="G529" s="2033"/>
      <c r="H529" s="2033"/>
      <c r="I529" s="2033"/>
      <c r="J529" s="2033"/>
      <c r="K529" s="2033"/>
      <c r="L529" s="2033"/>
      <c r="M529" s="2033"/>
      <c r="N529" s="2033"/>
      <c r="O529" s="2033"/>
      <c r="P529" s="2033"/>
      <c r="Q529" s="2034"/>
      <c r="R529" s="713"/>
      <c r="S529" s="713"/>
      <c r="T529" s="713"/>
      <c r="U529" s="713"/>
      <c r="V529" s="713"/>
      <c r="W529" s="713"/>
      <c r="X529" s="713"/>
      <c r="Y529" s="713"/>
      <c r="Z529" s="713"/>
      <c r="AA529" s="713"/>
      <c r="AB529" s="713"/>
      <c r="AC529" s="713"/>
      <c r="AD529" s="713"/>
      <c r="AE529" s="713"/>
      <c r="AF529" s="713"/>
      <c r="AG529" s="713"/>
      <c r="AH529" s="713"/>
      <c r="AI529" s="713"/>
      <c r="AJ529" s="713"/>
      <c r="AK529" s="713"/>
      <c r="AL529" s="713"/>
      <c r="AM529" s="713"/>
      <c r="AN529" s="713"/>
      <c r="AO529" s="713"/>
      <c r="AP529" s="714"/>
      <c r="AQ529" s="715"/>
      <c r="AR529" s="707"/>
      <c r="AS529" s="707"/>
    </row>
    <row r="530" spans="1:45" s="711" customFormat="1" ht="12.75" customHeight="1" x14ac:dyDescent="0.25">
      <c r="A530" s="710"/>
      <c r="B530" s="707"/>
      <c r="C530" s="2032"/>
      <c r="D530" s="2033"/>
      <c r="E530" s="2033"/>
      <c r="F530" s="2033"/>
      <c r="G530" s="2033"/>
      <c r="H530" s="2033"/>
      <c r="I530" s="2033"/>
      <c r="J530" s="2033"/>
      <c r="K530" s="2033"/>
      <c r="L530" s="2033"/>
      <c r="M530" s="2033"/>
      <c r="N530" s="2033"/>
      <c r="O530" s="2033"/>
      <c r="P530" s="2033"/>
      <c r="Q530" s="2034"/>
      <c r="R530" s="713"/>
      <c r="S530" s="713"/>
      <c r="T530" s="713"/>
      <c r="U530" s="713"/>
      <c r="V530" s="713"/>
      <c r="W530" s="713"/>
      <c r="X530" s="713"/>
      <c r="Y530" s="713"/>
      <c r="Z530" s="713"/>
      <c r="AA530" s="713"/>
      <c r="AB530" s="713"/>
      <c r="AC530" s="713"/>
      <c r="AD530" s="713"/>
      <c r="AE530" s="713"/>
      <c r="AF530" s="713"/>
      <c r="AG530" s="713"/>
      <c r="AH530" s="713"/>
      <c r="AI530" s="713"/>
      <c r="AJ530" s="713"/>
      <c r="AK530" s="713"/>
      <c r="AL530" s="713"/>
      <c r="AM530" s="713"/>
      <c r="AN530" s="713"/>
      <c r="AO530" s="713"/>
      <c r="AP530" s="714"/>
      <c r="AQ530" s="715"/>
      <c r="AR530" s="707"/>
      <c r="AS530" s="707"/>
    </row>
    <row r="531" spans="1:45" s="711" customFormat="1" ht="12.75" customHeight="1" x14ac:dyDescent="0.25">
      <c r="A531" s="710"/>
      <c r="B531" s="707"/>
      <c r="C531" s="2032"/>
      <c r="D531" s="2033"/>
      <c r="E531" s="2033"/>
      <c r="F531" s="2033"/>
      <c r="G531" s="2033"/>
      <c r="H531" s="2033"/>
      <c r="I531" s="2033"/>
      <c r="J531" s="2033"/>
      <c r="K531" s="2033"/>
      <c r="L531" s="2033"/>
      <c r="M531" s="2033"/>
      <c r="N531" s="2033"/>
      <c r="O531" s="2033"/>
      <c r="P531" s="2033"/>
      <c r="Q531" s="2034"/>
      <c r="R531" s="713"/>
      <c r="S531" s="713"/>
      <c r="T531" s="713"/>
      <c r="U531" s="713"/>
      <c r="V531" s="713"/>
      <c r="W531" s="713"/>
      <c r="X531" s="713"/>
      <c r="Y531" s="713"/>
      <c r="Z531" s="713"/>
      <c r="AA531" s="713"/>
      <c r="AB531" s="713"/>
      <c r="AC531" s="713"/>
      <c r="AD531" s="713"/>
      <c r="AE531" s="713"/>
      <c r="AF531" s="713"/>
      <c r="AG531" s="713"/>
      <c r="AH531" s="713"/>
      <c r="AI531" s="713"/>
      <c r="AJ531" s="713"/>
      <c r="AK531" s="713"/>
      <c r="AL531" s="713"/>
      <c r="AM531" s="713"/>
      <c r="AN531" s="713"/>
      <c r="AO531" s="713"/>
      <c r="AP531" s="714"/>
      <c r="AQ531" s="715"/>
      <c r="AR531" s="707"/>
      <c r="AS531" s="707"/>
    </row>
    <row r="532" spans="1:45" s="711" customFormat="1" ht="12.75" customHeight="1" x14ac:dyDescent="0.25">
      <c r="A532" s="710"/>
      <c r="B532" s="707"/>
      <c r="C532" s="2035"/>
      <c r="D532" s="2036"/>
      <c r="E532" s="2036"/>
      <c r="F532" s="2036"/>
      <c r="G532" s="2036"/>
      <c r="H532" s="2036"/>
      <c r="I532" s="2036"/>
      <c r="J532" s="2036"/>
      <c r="K532" s="2036"/>
      <c r="L532" s="2036"/>
      <c r="M532" s="2036"/>
      <c r="N532" s="2036"/>
      <c r="O532" s="2036"/>
      <c r="P532" s="2036"/>
      <c r="Q532" s="2037"/>
      <c r="R532" s="713"/>
      <c r="S532" s="713"/>
      <c r="T532" s="713"/>
      <c r="U532" s="713"/>
      <c r="V532" s="713"/>
      <c r="W532" s="713"/>
      <c r="X532" s="713"/>
      <c r="Y532" s="713"/>
      <c r="Z532" s="713"/>
      <c r="AA532" s="713"/>
      <c r="AB532" s="713"/>
      <c r="AC532" s="713"/>
      <c r="AD532" s="713"/>
      <c r="AE532" s="713"/>
      <c r="AF532" s="713"/>
      <c r="AG532" s="713"/>
      <c r="AH532" s="713"/>
      <c r="AI532" s="713"/>
      <c r="AJ532" s="713"/>
      <c r="AK532" s="713"/>
      <c r="AL532" s="713"/>
      <c r="AM532" s="713"/>
      <c r="AN532" s="713"/>
      <c r="AO532" s="713"/>
      <c r="AP532" s="714"/>
      <c r="AQ532" s="715"/>
      <c r="AR532" s="707"/>
      <c r="AS532" s="707"/>
    </row>
    <row r="533" spans="1:45" s="711" customFormat="1" ht="12.75" customHeight="1" x14ac:dyDescent="0.25">
      <c r="A533" s="710"/>
      <c r="B533" s="707"/>
      <c r="C533" s="707"/>
      <c r="F533" s="712"/>
      <c r="G533" s="712"/>
      <c r="H533" s="712"/>
      <c r="I533" s="712"/>
      <c r="J533" s="713"/>
      <c r="K533" s="713"/>
      <c r="L533" s="713"/>
      <c r="M533" s="713"/>
      <c r="N533" s="713"/>
      <c r="O533" s="713"/>
      <c r="P533" s="713"/>
      <c r="Q533" s="713"/>
      <c r="R533" s="713"/>
      <c r="S533" s="713"/>
      <c r="T533" s="713"/>
      <c r="U533" s="713"/>
      <c r="V533" s="713"/>
      <c r="W533" s="713"/>
      <c r="X533" s="713"/>
      <c r="Y533" s="713"/>
      <c r="Z533" s="713"/>
      <c r="AA533" s="713"/>
      <c r="AB533" s="713"/>
      <c r="AC533" s="713"/>
      <c r="AD533" s="713"/>
      <c r="AE533" s="713"/>
      <c r="AF533" s="713"/>
      <c r="AG533" s="713"/>
      <c r="AH533" s="713"/>
      <c r="AI533" s="713"/>
      <c r="AJ533" s="713"/>
      <c r="AK533" s="713"/>
      <c r="AL533" s="713"/>
      <c r="AM533" s="713"/>
      <c r="AN533" s="713"/>
      <c r="AO533" s="713"/>
      <c r="AP533" s="714"/>
      <c r="AQ533" s="715"/>
      <c r="AR533" s="707"/>
      <c r="AS533" s="707"/>
    </row>
    <row r="534" spans="1:45" s="711" customFormat="1" ht="12.75" customHeight="1" x14ac:dyDescent="0.25">
      <c r="A534" s="710"/>
      <c r="B534" s="707"/>
      <c r="C534" s="707"/>
      <c r="F534" s="712"/>
      <c r="G534" s="712"/>
      <c r="H534" s="712"/>
      <c r="I534" s="712"/>
      <c r="J534" s="713"/>
      <c r="K534" s="713"/>
      <c r="L534" s="713"/>
      <c r="M534" s="713"/>
      <c r="N534" s="713"/>
      <c r="O534" s="713"/>
      <c r="P534" s="713"/>
      <c r="Q534" s="713"/>
      <c r="R534" s="713"/>
      <c r="S534" s="713"/>
      <c r="T534" s="713"/>
      <c r="U534" s="713"/>
      <c r="V534" s="713"/>
      <c r="W534" s="713"/>
      <c r="X534" s="713"/>
      <c r="Y534" s="713"/>
      <c r="Z534" s="713"/>
      <c r="AA534" s="713"/>
      <c r="AB534" s="713"/>
      <c r="AC534" s="713"/>
      <c r="AD534" s="713"/>
      <c r="AE534" s="713"/>
      <c r="AF534" s="713"/>
      <c r="AG534" s="713"/>
      <c r="AH534" s="713"/>
      <c r="AI534" s="713"/>
      <c r="AJ534" s="713"/>
      <c r="AK534" s="713"/>
      <c r="AL534" s="713"/>
      <c r="AM534" s="713"/>
      <c r="AN534" s="713"/>
      <c r="AO534" s="713"/>
      <c r="AP534" s="714"/>
      <c r="AQ534" s="715"/>
      <c r="AR534" s="707"/>
      <c r="AS534" s="707"/>
    </row>
    <row r="535" spans="1:45" s="711" customFormat="1" ht="12.75" customHeight="1" x14ac:dyDescent="0.25">
      <c r="A535" s="710"/>
      <c r="B535" s="707"/>
      <c r="C535" s="707"/>
      <c r="F535" s="712"/>
      <c r="G535" s="712"/>
      <c r="H535" s="712"/>
      <c r="I535" s="712"/>
      <c r="J535" s="713"/>
      <c r="K535" s="713"/>
      <c r="L535" s="713"/>
      <c r="M535" s="713"/>
      <c r="N535" s="713"/>
      <c r="O535" s="713"/>
      <c r="P535" s="713"/>
      <c r="Q535" s="713"/>
      <c r="R535" s="713"/>
      <c r="S535" s="713"/>
      <c r="T535" s="713"/>
      <c r="U535" s="713"/>
      <c r="V535" s="713"/>
      <c r="W535" s="713"/>
      <c r="X535" s="713"/>
      <c r="Y535" s="713"/>
      <c r="Z535" s="713"/>
      <c r="AA535" s="713"/>
      <c r="AB535" s="713"/>
      <c r="AC535" s="713"/>
      <c r="AD535" s="713"/>
      <c r="AE535" s="713"/>
      <c r="AF535" s="713"/>
      <c r="AG535" s="713"/>
      <c r="AH535" s="713"/>
      <c r="AI535" s="713"/>
      <c r="AJ535" s="713"/>
      <c r="AK535" s="713"/>
      <c r="AL535" s="713"/>
      <c r="AM535" s="713"/>
      <c r="AN535" s="713"/>
      <c r="AO535" s="713"/>
      <c r="AP535" s="714"/>
      <c r="AQ535" s="715"/>
      <c r="AR535" s="707"/>
      <c r="AS535" s="707"/>
    </row>
    <row r="536" spans="1:45" s="711" customFormat="1" ht="12.75" customHeight="1" x14ac:dyDescent="0.25">
      <c r="A536" s="44" t="s">
        <v>587</v>
      </c>
      <c r="B536" s="44"/>
      <c r="C536" s="44"/>
      <c r="D536" s="44"/>
      <c r="E536" s="44"/>
      <c r="F536" s="44"/>
      <c r="G536" s="44"/>
      <c r="H536" s="44"/>
      <c r="I536" s="44"/>
      <c r="J536" s="45"/>
      <c r="K536" s="45"/>
      <c r="L536" s="45"/>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714"/>
      <c r="AQ536" s="715"/>
      <c r="AR536" s="707"/>
      <c r="AS536" s="707"/>
    </row>
    <row r="537" spans="1:45" s="711" customFormat="1" ht="12.75" customHeight="1" x14ac:dyDescent="0.25">
      <c r="A537" s="710"/>
      <c r="B537" s="707"/>
      <c r="C537" s="707"/>
      <c r="F537" s="712"/>
      <c r="G537" s="712"/>
      <c r="H537" s="712"/>
      <c r="I537" s="712"/>
      <c r="J537" s="713"/>
      <c r="K537" s="713"/>
      <c r="L537" s="713"/>
      <c r="M537" s="713"/>
      <c r="N537" s="713"/>
      <c r="O537" s="713"/>
      <c r="P537" s="713"/>
      <c r="Q537" s="713"/>
      <c r="R537" s="713"/>
      <c r="S537" s="713"/>
      <c r="T537" s="713"/>
      <c r="U537" s="713"/>
      <c r="V537" s="713"/>
      <c r="W537" s="713"/>
      <c r="X537" s="713"/>
      <c r="Y537" s="713"/>
      <c r="Z537" s="713"/>
      <c r="AA537" s="713"/>
      <c r="AB537" s="713"/>
      <c r="AC537" s="713"/>
      <c r="AD537" s="713"/>
      <c r="AE537" s="713"/>
      <c r="AF537" s="713"/>
      <c r="AG537" s="713"/>
      <c r="AH537" s="713"/>
      <c r="AI537" s="713"/>
      <c r="AJ537" s="713"/>
      <c r="AK537" s="713"/>
      <c r="AL537" s="713"/>
      <c r="AM537" s="713"/>
      <c r="AN537" s="713"/>
      <c r="AO537" s="713"/>
      <c r="AP537" s="714"/>
      <c r="AQ537" s="715"/>
      <c r="AR537" s="707"/>
      <c r="AS537" s="707"/>
    </row>
    <row r="538" spans="1:45" s="711" customFormat="1" ht="12.75" customHeight="1" x14ac:dyDescent="0.25">
      <c r="A538" s="710"/>
      <c r="B538" s="55" t="s">
        <v>518</v>
      </c>
      <c r="C538" s="55"/>
      <c r="D538" s="81"/>
      <c r="E538" s="81"/>
      <c r="F538" s="81"/>
      <c r="G538" s="81"/>
      <c r="H538" s="81"/>
      <c r="I538" s="81"/>
      <c r="J538" s="81"/>
      <c r="K538" s="81"/>
      <c r="L538" s="81"/>
      <c r="M538" s="81"/>
      <c r="N538" s="81"/>
      <c r="O538" s="55"/>
      <c r="P538" s="55"/>
      <c r="Q538" s="55"/>
      <c r="R538" s="788"/>
      <c r="S538" s="788"/>
      <c r="T538" s="788"/>
      <c r="U538" s="788"/>
      <c r="V538" s="788"/>
      <c r="W538" s="788"/>
      <c r="X538" s="788"/>
      <c r="Y538" s="788"/>
      <c r="Z538" s="788"/>
      <c r="AA538" s="788"/>
      <c r="AB538" s="788"/>
      <c r="AC538" s="788"/>
      <c r="AD538" s="788"/>
      <c r="AE538" s="788"/>
      <c r="AF538" s="788"/>
      <c r="AG538" s="788"/>
      <c r="AH538" s="788"/>
      <c r="AI538" s="788"/>
      <c r="AJ538" s="788"/>
      <c r="AK538" s="788"/>
      <c r="AL538" s="788"/>
      <c r="AM538" s="788"/>
      <c r="AN538" s="788"/>
      <c r="AO538" s="788"/>
      <c r="AP538" s="714"/>
      <c r="AQ538" s="715"/>
      <c r="AR538" s="707"/>
      <c r="AS538" s="707"/>
    </row>
    <row r="539" spans="1:45" s="711" customFormat="1" ht="12.75" customHeight="1" x14ac:dyDescent="0.25">
      <c r="A539" s="710"/>
      <c r="B539" s="707"/>
      <c r="C539" s="707"/>
      <c r="F539" s="712"/>
      <c r="G539" s="712"/>
      <c r="H539" s="712"/>
      <c r="I539" s="712"/>
      <c r="J539" s="713"/>
      <c r="K539" s="713"/>
      <c r="L539" s="713"/>
      <c r="M539" s="713"/>
      <c r="N539" s="713"/>
      <c r="O539" s="713"/>
      <c r="P539" s="713"/>
      <c r="Q539" s="713"/>
      <c r="R539" s="713"/>
      <c r="S539" s="713"/>
      <c r="T539" s="713"/>
      <c r="U539" s="713"/>
      <c r="V539" s="713"/>
      <c r="W539" s="713"/>
      <c r="X539" s="713"/>
      <c r="Y539" s="713"/>
      <c r="Z539" s="713"/>
      <c r="AA539" s="713"/>
      <c r="AB539" s="713"/>
      <c r="AC539" s="713"/>
      <c r="AD539" s="713"/>
      <c r="AE539" s="713"/>
      <c r="AF539" s="713"/>
      <c r="AG539" s="713"/>
      <c r="AH539" s="713"/>
      <c r="AI539" s="713"/>
      <c r="AJ539" s="713"/>
      <c r="AK539" s="713"/>
      <c r="AL539" s="713"/>
      <c r="AM539" s="713"/>
      <c r="AN539" s="713"/>
      <c r="AO539" s="713"/>
      <c r="AP539" s="714"/>
      <c r="AQ539" s="715"/>
      <c r="AR539" s="707"/>
      <c r="AS539" s="707"/>
    </row>
    <row r="540" spans="1:45" s="711" customFormat="1" ht="12.75" customHeight="1" x14ac:dyDescent="0.25">
      <c r="A540" s="710"/>
      <c r="B540" s="707"/>
      <c r="C540" s="707" t="s">
        <v>588</v>
      </c>
      <c r="F540" s="712"/>
      <c r="G540" s="712"/>
      <c r="I540" s="712"/>
      <c r="J540" s="713"/>
      <c r="K540" s="713"/>
      <c r="L540" s="713"/>
      <c r="M540" s="713"/>
      <c r="N540" s="713"/>
      <c r="O540" s="2005" t="s">
        <v>589</v>
      </c>
      <c r="P540" s="2028"/>
      <c r="Q540" s="713"/>
      <c r="R540" s="713"/>
      <c r="S540" s="713"/>
      <c r="T540" s="713"/>
      <c r="U540" s="713"/>
      <c r="V540" s="713"/>
      <c r="W540" s="713"/>
      <c r="X540" s="713"/>
      <c r="Y540" s="713"/>
      <c r="Z540" s="713"/>
      <c r="AA540" s="713"/>
      <c r="AB540" s="713"/>
      <c r="AC540" s="713"/>
      <c r="AD540" s="713"/>
      <c r="AE540" s="713"/>
      <c r="AF540" s="713"/>
      <c r="AG540" s="713"/>
      <c r="AH540" s="713"/>
      <c r="AI540" s="713"/>
      <c r="AJ540" s="713"/>
      <c r="AK540" s="713"/>
      <c r="AL540" s="713"/>
      <c r="AM540" s="713"/>
      <c r="AN540" s="713"/>
      <c r="AO540" s="713"/>
      <c r="AP540" s="714"/>
      <c r="AQ540" s="715"/>
      <c r="AR540" s="707"/>
      <c r="AS540" s="707"/>
    </row>
    <row r="541" spans="1:45" s="711" customFormat="1" ht="12.75" customHeight="1" x14ac:dyDescent="0.25">
      <c r="A541" s="710"/>
      <c r="B541" s="707"/>
      <c r="C541" s="707"/>
      <c r="D541" s="707" t="s">
        <v>517</v>
      </c>
      <c r="F541" s="712"/>
      <c r="G541" s="712"/>
      <c r="I541" s="712"/>
      <c r="J541" s="68" t="s">
        <v>16</v>
      </c>
      <c r="K541" s="68"/>
      <c r="L541" s="68"/>
      <c r="M541" s="713"/>
      <c r="N541" s="713"/>
      <c r="O541" s="2007">
        <v>0</v>
      </c>
      <c r="P541" s="2008"/>
      <c r="Q541" s="713"/>
      <c r="R541" s="713"/>
      <c r="S541" s="713"/>
      <c r="T541" s="713"/>
      <c r="U541" s="713"/>
      <c r="V541" s="713"/>
      <c r="W541" s="713"/>
      <c r="X541" s="713"/>
      <c r="Y541" s="713"/>
      <c r="Z541" s="713"/>
      <c r="AA541" s="713"/>
      <c r="AB541" s="713"/>
      <c r="AC541" s="713"/>
      <c r="AD541" s="713"/>
      <c r="AE541" s="713"/>
      <c r="AF541" s="713"/>
      <c r="AG541" s="713"/>
      <c r="AH541" s="713"/>
      <c r="AI541" s="713"/>
      <c r="AJ541" s="713"/>
      <c r="AK541" s="713"/>
      <c r="AL541" s="713"/>
      <c r="AM541" s="713"/>
      <c r="AN541" s="713"/>
      <c r="AO541" s="713"/>
      <c r="AP541" s="714"/>
      <c r="AQ541" s="715"/>
      <c r="AR541" s="707"/>
      <c r="AS541" s="707"/>
    </row>
    <row r="542" spans="1:45" s="711" customFormat="1" ht="12.75" customHeight="1" x14ac:dyDescent="0.25">
      <c r="A542" s="710"/>
      <c r="B542" s="707"/>
      <c r="C542" s="707"/>
      <c r="D542" s="707" t="s">
        <v>550</v>
      </c>
      <c r="F542" s="712"/>
      <c r="G542" s="712"/>
      <c r="I542" s="712"/>
      <c r="J542" s="68" t="s">
        <v>16</v>
      </c>
      <c r="K542" s="68"/>
      <c r="L542" s="68"/>
      <c r="M542" s="713"/>
      <c r="N542" s="713"/>
      <c r="O542" s="2026">
        <v>0</v>
      </c>
      <c r="P542" s="2027"/>
      <c r="Q542" s="713"/>
      <c r="R542" s="713"/>
      <c r="S542" s="713"/>
      <c r="T542" s="713"/>
      <c r="U542" s="713"/>
      <c r="V542" s="713"/>
      <c r="W542" s="713"/>
      <c r="X542" s="713"/>
      <c r="Y542" s="713"/>
      <c r="Z542" s="713"/>
      <c r="AA542" s="713"/>
      <c r="AB542" s="713"/>
      <c r="AC542" s="713"/>
      <c r="AD542" s="713"/>
      <c r="AE542" s="713"/>
      <c r="AF542" s="713"/>
      <c r="AG542" s="713"/>
      <c r="AH542" s="713"/>
      <c r="AI542" s="713"/>
      <c r="AJ542" s="713"/>
      <c r="AK542" s="713"/>
      <c r="AL542" s="713"/>
      <c r="AM542" s="713"/>
      <c r="AN542" s="713"/>
      <c r="AO542" s="713"/>
      <c r="AP542" s="714"/>
      <c r="AQ542" s="715"/>
      <c r="AR542" s="707"/>
      <c r="AS542" s="707"/>
    </row>
    <row r="543" spans="1:45" s="711" customFormat="1" ht="12.75" customHeight="1" x14ac:dyDescent="0.25">
      <c r="A543" s="710"/>
      <c r="B543" s="707"/>
      <c r="C543" s="707"/>
      <c r="D543" s="707" t="s">
        <v>553</v>
      </c>
      <c r="F543" s="712"/>
      <c r="G543" s="712"/>
      <c r="H543" s="712"/>
      <c r="I543" s="712"/>
      <c r="J543" s="713"/>
      <c r="K543" s="713"/>
      <c r="L543" s="713"/>
      <c r="M543" s="713"/>
      <c r="N543" s="713"/>
      <c r="O543" s="1975">
        <v>0</v>
      </c>
      <c r="P543" s="1976"/>
      <c r="Q543" s="713"/>
      <c r="R543" s="713"/>
      <c r="S543" s="713"/>
      <c r="T543" s="713"/>
      <c r="U543" s="713"/>
      <c r="V543" s="713"/>
      <c r="W543" s="713"/>
      <c r="X543" s="713"/>
      <c r="Y543" s="713"/>
      <c r="Z543" s="713"/>
      <c r="AA543" s="713"/>
      <c r="AB543" s="713"/>
      <c r="AC543" s="713"/>
      <c r="AD543" s="713"/>
      <c r="AE543" s="713"/>
      <c r="AF543" s="713"/>
      <c r="AG543" s="713"/>
      <c r="AH543" s="713"/>
      <c r="AI543" s="713"/>
      <c r="AJ543" s="713"/>
      <c r="AK543" s="713"/>
      <c r="AL543" s="713"/>
      <c r="AM543" s="713"/>
      <c r="AN543" s="713"/>
      <c r="AO543" s="713"/>
      <c r="AP543" s="714"/>
      <c r="AQ543" s="715"/>
      <c r="AR543" s="707"/>
      <c r="AS543" s="707"/>
    </row>
    <row r="544" spans="1:45" s="711" customFormat="1" ht="13.2" customHeight="1" x14ac:dyDescent="0.25">
      <c r="A544" s="710"/>
      <c r="B544" s="707"/>
      <c r="C544" s="707"/>
      <c r="F544" s="712"/>
      <c r="G544" s="712"/>
      <c r="H544" s="712"/>
      <c r="I544" s="712"/>
      <c r="J544" s="713"/>
      <c r="K544" s="713"/>
      <c r="L544" s="713"/>
      <c r="M544" s="713"/>
      <c r="N544" s="713"/>
      <c r="O544" s="713"/>
      <c r="P544" s="713"/>
      <c r="Q544" s="713"/>
      <c r="R544" s="713"/>
      <c r="S544" s="713"/>
      <c r="T544" s="713"/>
      <c r="U544" s="713"/>
      <c r="V544" s="713"/>
      <c r="W544" s="713"/>
      <c r="X544" s="713"/>
      <c r="Y544" s="713"/>
      <c r="Z544" s="713"/>
      <c r="AA544" s="713"/>
      <c r="AB544" s="713"/>
      <c r="AC544" s="713"/>
      <c r="AD544" s="713"/>
      <c r="AE544" s="713"/>
      <c r="AF544" s="713"/>
      <c r="AG544" s="713"/>
      <c r="AH544" s="713"/>
      <c r="AI544" s="713"/>
      <c r="AJ544" s="713"/>
      <c r="AK544" s="713"/>
      <c r="AL544" s="713"/>
      <c r="AM544" s="713"/>
      <c r="AN544" s="713"/>
      <c r="AO544" s="713"/>
      <c r="AP544" s="714"/>
      <c r="AQ544" s="715"/>
      <c r="AR544" s="707"/>
      <c r="AS544" s="707"/>
    </row>
    <row r="545" spans="1:45" s="711" customFormat="1" ht="12.75" customHeight="1" x14ac:dyDescent="0.25">
      <c r="A545" s="710"/>
      <c r="B545" s="52" t="s">
        <v>551</v>
      </c>
      <c r="C545" s="21"/>
      <c r="D545" s="21"/>
      <c r="E545" s="21"/>
      <c r="F545" s="21"/>
      <c r="G545" s="21"/>
      <c r="H545" s="21"/>
      <c r="I545" s="21"/>
      <c r="J545" s="22"/>
      <c r="K545" s="22"/>
      <c r="L545" s="22"/>
      <c r="M545" s="22"/>
      <c r="N545" s="22"/>
      <c r="O545" s="21"/>
      <c r="P545" s="21"/>
      <c r="Q545" s="21"/>
      <c r="R545" s="21"/>
      <c r="S545" s="21"/>
      <c r="T545" s="21"/>
      <c r="U545" s="21"/>
      <c r="V545" s="713"/>
      <c r="W545" s="713"/>
      <c r="X545" s="713"/>
      <c r="Y545" s="713"/>
      <c r="Z545" s="713"/>
      <c r="AA545" s="713"/>
      <c r="AB545" s="713"/>
      <c r="AC545" s="713"/>
      <c r="AD545" s="713"/>
      <c r="AE545" s="713"/>
      <c r="AF545" s="713"/>
      <c r="AG545" s="713"/>
      <c r="AH545" s="713"/>
      <c r="AI545" s="713"/>
      <c r="AJ545" s="713"/>
      <c r="AK545" s="713"/>
      <c r="AL545" s="713"/>
      <c r="AM545" s="713"/>
      <c r="AN545" s="713"/>
      <c r="AO545" s="713"/>
      <c r="AP545" s="714"/>
      <c r="AQ545" s="715"/>
      <c r="AR545" s="707"/>
      <c r="AS545" s="707"/>
    </row>
    <row r="546" spans="1:45" s="711" customFormat="1" ht="12.75" customHeight="1" x14ac:dyDescent="0.25">
      <c r="A546" s="710"/>
      <c r="B546" s="8"/>
      <c r="C546" s="8"/>
      <c r="D546" s="8"/>
      <c r="E546" s="8"/>
      <c r="F546" s="8"/>
      <c r="G546" s="8"/>
      <c r="H546" s="8"/>
      <c r="I546" s="11"/>
      <c r="J546" s="1128"/>
      <c r="K546" s="1128"/>
      <c r="L546" s="1128"/>
      <c r="M546" s="1128"/>
      <c r="N546" s="1128"/>
      <c r="O546" s="1128"/>
      <c r="P546" s="40"/>
      <c r="Q546" s="8"/>
      <c r="R546" s="8"/>
      <c r="S546" s="8"/>
      <c r="T546" s="8"/>
      <c r="U546" s="8"/>
      <c r="V546" s="713"/>
      <c r="W546" s="713"/>
      <c r="X546" s="713"/>
      <c r="Y546" s="713"/>
      <c r="Z546" s="713"/>
      <c r="AA546" s="713"/>
      <c r="AB546" s="713"/>
      <c r="AC546" s="713"/>
      <c r="AD546" s="713"/>
      <c r="AE546" s="713"/>
      <c r="AF546" s="713"/>
      <c r="AG546" s="713"/>
      <c r="AH546" s="713"/>
      <c r="AI546" s="713"/>
      <c r="AJ546" s="713"/>
      <c r="AK546" s="713"/>
      <c r="AL546" s="713"/>
      <c r="AM546" s="713"/>
      <c r="AN546" s="713"/>
      <c r="AO546" s="713"/>
      <c r="AP546" s="714"/>
      <c r="AQ546" s="715"/>
      <c r="AR546" s="707"/>
      <c r="AS546" s="707"/>
    </row>
    <row r="547" spans="1:45" s="711" customFormat="1" ht="12.75" customHeight="1" x14ac:dyDescent="0.25">
      <c r="A547" s="710"/>
      <c r="B547" s="8"/>
      <c r="C547" s="8"/>
      <c r="D547" s="8"/>
      <c r="E547" s="8"/>
      <c r="F547" s="8"/>
      <c r="G547" s="8"/>
      <c r="H547" s="8"/>
      <c r="I547" s="11"/>
      <c r="J547" s="1128"/>
      <c r="K547" s="1128"/>
      <c r="L547" s="1128"/>
      <c r="M547" s="1128"/>
      <c r="N547" s="1128"/>
      <c r="O547" s="1128"/>
      <c r="P547" s="40"/>
      <c r="Q547" s="8"/>
      <c r="R547" s="8"/>
      <c r="S547" s="8"/>
      <c r="T547" s="8"/>
      <c r="U547" s="8"/>
      <c r="V547" s="713"/>
      <c r="W547" s="713"/>
      <c r="X547" s="713"/>
      <c r="Y547" s="713"/>
      <c r="Z547" s="713"/>
      <c r="AA547" s="713"/>
      <c r="AB547" s="713"/>
      <c r="AC547" s="713"/>
      <c r="AD547" s="713"/>
      <c r="AE547" s="713"/>
      <c r="AF547" s="713"/>
      <c r="AG547" s="713"/>
      <c r="AH547" s="713"/>
      <c r="AI547" s="713"/>
      <c r="AJ547" s="713"/>
      <c r="AK547" s="713"/>
      <c r="AL547" s="713"/>
      <c r="AM547" s="713"/>
      <c r="AN547" s="713"/>
      <c r="AO547" s="713"/>
      <c r="AP547" s="714"/>
      <c r="AQ547" s="715"/>
      <c r="AR547" s="707"/>
      <c r="AS547" s="707"/>
    </row>
    <row r="548" spans="1:45" s="707" customFormat="1" ht="12.75" customHeight="1" x14ac:dyDescent="0.25">
      <c r="A548" s="8"/>
      <c r="B548" s="8"/>
      <c r="C548" s="8"/>
      <c r="D548" s="8"/>
      <c r="E548" s="8"/>
      <c r="F548" s="8"/>
      <c r="G548" s="8"/>
      <c r="H548" s="8"/>
      <c r="I548" s="11"/>
      <c r="J548" s="1128"/>
      <c r="K548" s="1128"/>
      <c r="L548" s="1743" t="s">
        <v>200</v>
      </c>
      <c r="M548" s="1744"/>
      <c r="N548" s="1744"/>
      <c r="O548" s="1745"/>
      <c r="P548" s="1788" t="s">
        <v>201</v>
      </c>
      <c r="Q548" s="1789"/>
      <c r="R548" s="1789"/>
      <c r="S548" s="1790"/>
      <c r="T548" s="8"/>
      <c r="U548" s="8"/>
      <c r="V548" s="713"/>
      <c r="W548" s="713"/>
      <c r="X548" s="713"/>
      <c r="Y548" s="713"/>
      <c r="Z548" s="713"/>
      <c r="AA548" s="713"/>
      <c r="AB548" s="713"/>
      <c r="AC548" s="713"/>
      <c r="AD548" s="713"/>
      <c r="AE548" s="713"/>
      <c r="AF548" s="713"/>
      <c r="AG548" s="713"/>
      <c r="AH548" s="713"/>
      <c r="AI548" s="713"/>
      <c r="AJ548" s="713"/>
      <c r="AK548" s="713"/>
      <c r="AL548" s="713"/>
      <c r="AM548" s="713"/>
      <c r="AN548" s="713"/>
      <c r="AO548" s="713"/>
      <c r="AP548" s="713"/>
      <c r="AQ548" s="715"/>
    </row>
    <row r="549" spans="1:45" s="707" customFormat="1" ht="12.75" customHeight="1" x14ac:dyDescent="0.25">
      <c r="A549" s="8"/>
      <c r="B549" s="8"/>
      <c r="C549" s="8"/>
      <c r="D549" s="8"/>
      <c r="E549" s="8"/>
      <c r="F549" s="8"/>
      <c r="G549" s="8"/>
      <c r="H549" s="8"/>
      <c r="I549" s="11"/>
      <c r="J549" s="1128"/>
      <c r="K549" s="1128"/>
      <c r="L549" s="1785" t="s">
        <v>229</v>
      </c>
      <c r="M549" s="1786"/>
      <c r="N549" s="1786"/>
      <c r="O549" s="1787"/>
      <c r="P549" s="1667" t="s">
        <v>229</v>
      </c>
      <c r="Q549" s="1668"/>
      <c r="R549" s="1668"/>
      <c r="S549" s="1669"/>
      <c r="T549" s="8"/>
      <c r="U549" s="8"/>
      <c r="V549" s="713"/>
      <c r="W549" s="713"/>
      <c r="X549" s="713"/>
      <c r="Y549" s="713"/>
      <c r="Z549" s="713"/>
      <c r="AA549" s="713"/>
      <c r="AB549" s="713"/>
      <c r="AC549" s="713"/>
      <c r="AD549" s="713"/>
      <c r="AE549" s="713"/>
      <c r="AF549" s="713"/>
      <c r="AG549" s="713"/>
      <c r="AH549" s="713"/>
      <c r="AI549" s="713"/>
      <c r="AJ549" s="713"/>
      <c r="AK549" s="713"/>
      <c r="AL549" s="713"/>
      <c r="AM549" s="713"/>
      <c r="AN549" s="713"/>
      <c r="AO549" s="713"/>
      <c r="AP549" s="713"/>
      <c r="AQ549" s="715"/>
    </row>
    <row r="550" spans="1:45" s="707" customFormat="1" ht="38.700000000000003" customHeight="1" x14ac:dyDescent="0.25">
      <c r="A550" s="8"/>
      <c r="B550" s="8"/>
      <c r="C550" s="1130" t="s">
        <v>78</v>
      </c>
      <c r="D550" s="840"/>
      <c r="E550" s="840"/>
      <c r="F550" s="840"/>
      <c r="G550" s="840"/>
      <c r="H550" s="840"/>
      <c r="I550" s="840"/>
      <c r="J550" s="840"/>
      <c r="K550" s="840"/>
      <c r="L550" s="1131" t="s">
        <v>227</v>
      </c>
      <c r="M550" s="1131" t="s">
        <v>218</v>
      </c>
      <c r="N550" s="1132" t="s">
        <v>226</v>
      </c>
      <c r="O550" s="1133" t="s">
        <v>225</v>
      </c>
      <c r="P550" s="1134" t="s">
        <v>227</v>
      </c>
      <c r="Q550" s="1134" t="s">
        <v>218</v>
      </c>
      <c r="R550" s="1135" t="s">
        <v>226</v>
      </c>
      <c r="S550" s="1136" t="s">
        <v>225</v>
      </c>
      <c r="T550" s="8"/>
      <c r="U550" s="8"/>
      <c r="V550" s="713"/>
      <c r="W550" s="713"/>
      <c r="X550" s="713"/>
      <c r="Y550" s="713"/>
      <c r="Z550" s="713"/>
      <c r="AA550" s="713"/>
      <c r="AB550" s="713"/>
      <c r="AC550" s="713"/>
      <c r="AD550" s="713"/>
      <c r="AE550" s="713"/>
      <c r="AF550" s="713"/>
      <c r="AG550" s="713"/>
      <c r="AH550" s="713"/>
      <c r="AI550" s="713"/>
      <c r="AJ550" s="713"/>
      <c r="AK550" s="713"/>
      <c r="AL550" s="713"/>
      <c r="AM550" s="713"/>
      <c r="AN550" s="713"/>
      <c r="AO550" s="713"/>
      <c r="AP550" s="713"/>
      <c r="AQ550" s="715"/>
    </row>
    <row r="551" spans="1:45" s="707" customFormat="1" ht="12.75" customHeight="1" x14ac:dyDescent="0.25">
      <c r="A551" s="8"/>
      <c r="B551" s="8"/>
      <c r="C551" s="848" t="s">
        <v>151</v>
      </c>
      <c r="D551" s="57"/>
      <c r="E551" s="182"/>
      <c r="F551" s="57"/>
      <c r="G551" s="57"/>
      <c r="H551" s="57"/>
      <c r="I551" s="57"/>
      <c r="J551" s="57"/>
      <c r="K551" s="57"/>
      <c r="L551" s="1447">
        <v>0</v>
      </c>
      <c r="M551" s="1448">
        <v>0</v>
      </c>
      <c r="N551" s="1449">
        <v>0</v>
      </c>
      <c r="O551" s="1450">
        <v>0</v>
      </c>
      <c r="P551" s="1451">
        <v>0</v>
      </c>
      <c r="Q551" s="1451">
        <v>0</v>
      </c>
      <c r="R551" s="1452">
        <v>0</v>
      </c>
      <c r="S551" s="1453">
        <v>0</v>
      </c>
      <c r="T551" s="8"/>
      <c r="U551" s="8"/>
      <c r="V551" s="713"/>
      <c r="W551" s="713"/>
      <c r="X551" s="713"/>
      <c r="Y551" s="713"/>
      <c r="Z551" s="713"/>
      <c r="AA551" s="713"/>
      <c r="AB551" s="713"/>
      <c r="AC551" s="713"/>
      <c r="AD551" s="713"/>
      <c r="AE551" s="713"/>
      <c r="AF551" s="713"/>
      <c r="AG551" s="713"/>
      <c r="AH551" s="713"/>
      <c r="AI551" s="713"/>
      <c r="AJ551" s="713"/>
      <c r="AK551" s="713"/>
      <c r="AL551" s="713"/>
      <c r="AM551" s="713"/>
      <c r="AN551" s="713"/>
      <c r="AO551" s="713"/>
      <c r="AP551" s="713"/>
      <c r="AQ551" s="715"/>
    </row>
    <row r="552" spans="1:45" s="707" customFormat="1" ht="12.75" customHeight="1" x14ac:dyDescent="0.25">
      <c r="A552" s="8"/>
      <c r="B552" s="8"/>
      <c r="C552" s="856" t="s">
        <v>238</v>
      </c>
      <c r="D552" s="857"/>
      <c r="E552" s="857"/>
      <c r="F552" s="857"/>
      <c r="G552" s="857"/>
      <c r="H552" s="857"/>
      <c r="I552" s="857"/>
      <c r="J552" s="857"/>
      <c r="K552" s="857"/>
      <c r="L552" s="1454">
        <v>0</v>
      </c>
      <c r="M552" s="1454">
        <v>0</v>
      </c>
      <c r="N552" s="1455">
        <v>0</v>
      </c>
      <c r="O552" s="1456">
        <v>0</v>
      </c>
      <c r="P552" s="1457">
        <v>0</v>
      </c>
      <c r="Q552" s="1457">
        <v>0</v>
      </c>
      <c r="R552" s="1458">
        <v>0</v>
      </c>
      <c r="S552" s="1459">
        <v>0</v>
      </c>
      <c r="T552" s="8"/>
      <c r="U552" s="8"/>
      <c r="V552" s="713"/>
      <c r="W552" s="713"/>
      <c r="X552" s="713"/>
      <c r="Y552" s="713"/>
      <c r="Z552" s="713"/>
      <c r="AA552" s="713"/>
      <c r="AB552" s="713"/>
      <c r="AC552" s="713"/>
      <c r="AD552" s="713"/>
      <c r="AE552" s="713"/>
      <c r="AF552" s="713"/>
      <c r="AG552" s="713"/>
      <c r="AH552" s="713"/>
      <c r="AI552" s="713"/>
      <c r="AJ552" s="713"/>
      <c r="AK552" s="713"/>
      <c r="AL552" s="713"/>
      <c r="AM552" s="713"/>
      <c r="AN552" s="713"/>
      <c r="AO552" s="713"/>
      <c r="AP552" s="713"/>
      <c r="AQ552" s="715"/>
    </row>
    <row r="553" spans="1:45" s="707" customFormat="1" ht="12.75" customHeight="1" x14ac:dyDescent="0.25">
      <c r="A553" s="8"/>
      <c r="B553" s="8"/>
      <c r="C553" s="56" t="s">
        <v>80</v>
      </c>
      <c r="D553" s="56"/>
      <c r="E553" s="56"/>
      <c r="F553" s="57"/>
      <c r="G553" s="57"/>
      <c r="H553" s="57"/>
      <c r="I553" s="57"/>
      <c r="J553" s="57"/>
      <c r="K553" s="57"/>
      <c r="L553" s="1460">
        <v>0</v>
      </c>
      <c r="M553" s="1460">
        <v>0</v>
      </c>
      <c r="N553" s="1461">
        <v>0</v>
      </c>
      <c r="O553" s="1461">
        <v>0</v>
      </c>
      <c r="P553" s="1462">
        <v>0</v>
      </c>
      <c r="Q553" s="1462">
        <v>0</v>
      </c>
      <c r="R553" s="1463">
        <v>0</v>
      </c>
      <c r="S553" s="1464">
        <v>0</v>
      </c>
      <c r="T553" s="8"/>
      <c r="U553" s="8"/>
      <c r="V553" s="713"/>
      <c r="W553" s="713"/>
      <c r="X553" s="713"/>
      <c r="Y553" s="713"/>
      <c r="Z553" s="713"/>
      <c r="AA553" s="713"/>
      <c r="AB553" s="713"/>
      <c r="AC553" s="713"/>
      <c r="AD553" s="713"/>
      <c r="AE553" s="713"/>
      <c r="AF553" s="713"/>
      <c r="AG553" s="713"/>
      <c r="AH553" s="713"/>
      <c r="AI553" s="713"/>
      <c r="AJ553" s="713"/>
      <c r="AK553" s="713"/>
      <c r="AL553" s="713"/>
      <c r="AM553" s="713"/>
      <c r="AN553" s="713"/>
      <c r="AO553" s="713"/>
      <c r="AP553" s="713"/>
      <c r="AQ553" s="715"/>
    </row>
    <row r="554" spans="1:45" s="707" customFormat="1" ht="12.75" customHeight="1" x14ac:dyDescent="0.25">
      <c r="A554" s="8"/>
      <c r="B554" s="8"/>
      <c r="C554" s="8"/>
      <c r="D554" s="8"/>
      <c r="E554" s="8"/>
      <c r="F554" s="8"/>
      <c r="G554" s="8"/>
      <c r="H554" s="8"/>
      <c r="I554" s="11"/>
      <c r="J554" s="1128"/>
      <c r="K554" s="1128"/>
      <c r="L554" s="1241"/>
      <c r="M554" s="1241"/>
      <c r="N554" s="1241"/>
      <c r="O554" s="1241"/>
      <c r="P554" s="40"/>
      <c r="Q554" s="8"/>
      <c r="R554" s="8"/>
      <c r="S554" s="8"/>
      <c r="T554" s="8"/>
      <c r="U554" s="8"/>
      <c r="V554" s="713"/>
      <c r="W554" s="713"/>
      <c r="X554" s="713"/>
      <c r="Y554" s="713"/>
      <c r="Z554" s="713"/>
      <c r="AA554" s="713"/>
      <c r="AB554" s="713"/>
      <c r="AC554" s="713"/>
      <c r="AD554" s="713"/>
      <c r="AE554" s="713"/>
      <c r="AF554" s="713"/>
      <c r="AG554" s="713"/>
      <c r="AH554" s="713"/>
      <c r="AI554" s="713"/>
      <c r="AJ554" s="713"/>
      <c r="AK554" s="713"/>
      <c r="AL554" s="713"/>
      <c r="AM554" s="713"/>
      <c r="AN554" s="713"/>
      <c r="AO554" s="713"/>
      <c r="AP554" s="713"/>
      <c r="AQ554" s="715"/>
    </row>
    <row r="555" spans="1:45" s="707" customFormat="1" ht="12.75" customHeight="1" x14ac:dyDescent="0.25">
      <c r="A555" s="8"/>
      <c r="B555" s="8"/>
      <c r="C555" s="8"/>
      <c r="D555" s="8"/>
      <c r="E555" s="8"/>
      <c r="F555" s="8"/>
      <c r="G555" s="8"/>
      <c r="H555" s="8"/>
      <c r="I555" s="11"/>
      <c r="J555" s="1128"/>
      <c r="K555" s="1128"/>
      <c r="L555" s="1241"/>
      <c r="M555" s="1241"/>
      <c r="N555" s="1241"/>
      <c r="O555" s="1241"/>
      <c r="P555" s="40"/>
      <c r="Q555" s="8"/>
      <c r="R555" s="8"/>
      <c r="S555" s="8"/>
      <c r="T555" s="8"/>
      <c r="U555" s="8"/>
      <c r="V555" s="713"/>
      <c r="W555" s="713"/>
      <c r="X555" s="713"/>
      <c r="Y555" s="713"/>
      <c r="Z555" s="713"/>
      <c r="AA555" s="713"/>
      <c r="AB555" s="713"/>
      <c r="AC555" s="713"/>
      <c r="AD555" s="713"/>
      <c r="AE555" s="713"/>
      <c r="AF555" s="713"/>
      <c r="AG555" s="713"/>
      <c r="AH555" s="713"/>
      <c r="AI555" s="713"/>
      <c r="AJ555" s="713"/>
      <c r="AK555" s="713"/>
      <c r="AL555" s="713"/>
      <c r="AM555" s="713"/>
      <c r="AN555" s="713"/>
      <c r="AO555" s="713"/>
      <c r="AP555" s="713"/>
      <c r="AQ555" s="715"/>
    </row>
    <row r="556" spans="1:45" s="707" customFormat="1" ht="12.75" customHeight="1" x14ac:dyDescent="0.25">
      <c r="A556" s="8"/>
      <c r="B556" s="8"/>
      <c r="C556" s="8"/>
      <c r="D556" s="8"/>
      <c r="E556" s="8"/>
      <c r="F556" s="8"/>
      <c r="G556" s="8"/>
      <c r="H556" s="8"/>
      <c r="I556" s="11"/>
      <c r="J556" s="1128"/>
      <c r="K556" s="1128"/>
      <c r="L556" s="1743" t="s">
        <v>200</v>
      </c>
      <c r="M556" s="1744"/>
      <c r="N556" s="1744"/>
      <c r="O556" s="1745"/>
      <c r="P556" s="1788" t="s">
        <v>201</v>
      </c>
      <c r="Q556" s="1789"/>
      <c r="R556" s="1789"/>
      <c r="S556" s="1790"/>
      <c r="T556" s="8"/>
      <c r="U556" s="8"/>
      <c r="V556" s="713"/>
      <c r="W556" s="713"/>
      <c r="X556" s="713"/>
      <c r="Y556" s="713"/>
      <c r="Z556" s="713"/>
      <c r="AA556" s="713"/>
      <c r="AB556" s="713"/>
      <c r="AC556" s="713"/>
      <c r="AD556" s="713"/>
      <c r="AE556" s="713"/>
      <c r="AF556" s="713"/>
      <c r="AG556" s="713"/>
      <c r="AH556" s="713"/>
      <c r="AI556" s="713"/>
      <c r="AJ556" s="713"/>
      <c r="AK556" s="713"/>
      <c r="AL556" s="713"/>
      <c r="AM556" s="713"/>
      <c r="AN556" s="713"/>
      <c r="AO556" s="713"/>
      <c r="AP556" s="713"/>
      <c r="AQ556" s="715"/>
    </row>
    <row r="557" spans="1:45" s="707" customFormat="1" ht="12.75" customHeight="1" x14ac:dyDescent="0.25">
      <c r="A557" s="8"/>
      <c r="B557" s="8"/>
      <c r="C557" s="8"/>
      <c r="D557" s="8"/>
      <c r="E557" s="8"/>
      <c r="F557" s="8"/>
      <c r="G557" s="8"/>
      <c r="H557" s="8"/>
      <c r="I557" s="11"/>
      <c r="J557" s="1128"/>
      <c r="K557" s="1128"/>
      <c r="L557" s="1785" t="s">
        <v>229</v>
      </c>
      <c r="M557" s="1786"/>
      <c r="N557" s="1786"/>
      <c r="O557" s="1787"/>
      <c r="P557" s="1667" t="s">
        <v>229</v>
      </c>
      <c r="Q557" s="1668"/>
      <c r="R557" s="1668"/>
      <c r="S557" s="1669"/>
      <c r="T557" s="8"/>
      <c r="U557" s="8"/>
      <c r="V557" s="713"/>
      <c r="W557" s="713"/>
      <c r="X557" s="713"/>
      <c r="Y557" s="713"/>
      <c r="Z557" s="713"/>
      <c r="AA557" s="713"/>
      <c r="AB557" s="713"/>
      <c r="AC557" s="713"/>
      <c r="AD557" s="713"/>
      <c r="AE557" s="713"/>
      <c r="AF557" s="713"/>
      <c r="AG557" s="713"/>
      <c r="AH557" s="713"/>
      <c r="AI557" s="713"/>
      <c r="AJ557" s="713"/>
      <c r="AK557" s="713"/>
      <c r="AL557" s="713"/>
      <c r="AM557" s="713"/>
      <c r="AN557" s="713"/>
      <c r="AO557" s="713"/>
      <c r="AP557" s="713"/>
      <c r="AQ557" s="715"/>
    </row>
    <row r="558" spans="1:45" s="707" customFormat="1" ht="39.450000000000003" customHeight="1" x14ac:dyDescent="0.25">
      <c r="A558" s="8"/>
      <c r="B558" s="8"/>
      <c r="C558" s="867" t="s">
        <v>230</v>
      </c>
      <c r="D558" s="868"/>
      <c r="E558" s="55"/>
      <c r="F558" s="868"/>
      <c r="G558" s="868"/>
      <c r="H558" s="868"/>
      <c r="I558" s="868"/>
      <c r="J558" s="868"/>
      <c r="K558" s="868"/>
      <c r="L558" s="1243" t="s">
        <v>227</v>
      </c>
      <c r="M558" s="1243" t="s">
        <v>218</v>
      </c>
      <c r="N558" s="1244" t="s">
        <v>226</v>
      </c>
      <c r="O558" s="1245" t="s">
        <v>225</v>
      </c>
      <c r="P558" s="1246" t="s">
        <v>227</v>
      </c>
      <c r="Q558" s="1246" t="s">
        <v>218</v>
      </c>
      <c r="R558" s="1247" t="s">
        <v>226</v>
      </c>
      <c r="S558" s="1248" t="s">
        <v>225</v>
      </c>
      <c r="T558" s="8"/>
      <c r="U558" s="8"/>
      <c r="V558" s="713"/>
      <c r="W558" s="713"/>
      <c r="X558" s="713"/>
      <c r="Y558" s="713"/>
      <c r="Z558" s="713"/>
      <c r="AA558" s="713"/>
      <c r="AB558" s="713"/>
      <c r="AC558" s="713"/>
      <c r="AD558" s="713"/>
      <c r="AE558" s="713"/>
      <c r="AF558" s="713"/>
      <c r="AG558" s="713"/>
      <c r="AH558" s="713"/>
      <c r="AI558" s="713"/>
      <c r="AJ558" s="713"/>
      <c r="AK558" s="713"/>
      <c r="AL558" s="713"/>
      <c r="AM558" s="713"/>
      <c r="AN558" s="713"/>
      <c r="AO558" s="713"/>
      <c r="AP558" s="713"/>
      <c r="AQ558" s="715"/>
    </row>
    <row r="559" spans="1:45" s="707" customFormat="1" ht="12.75" customHeight="1" x14ac:dyDescent="0.25">
      <c r="A559" s="8"/>
      <c r="B559" s="8"/>
      <c r="C559" s="836" t="str">
        <f>$C$32</f>
        <v>Power Market Risk</v>
      </c>
      <c r="D559" s="57"/>
      <c r="E559" s="57"/>
      <c r="F559" s="57"/>
      <c r="G559" s="8"/>
      <c r="H559" s="8"/>
      <c r="I559" s="11"/>
      <c r="J559" s="1128"/>
      <c r="K559" s="1128"/>
      <c r="L559" s="1423">
        <v>0</v>
      </c>
      <c r="M559" s="1423">
        <v>0</v>
      </c>
      <c r="N559" s="1424">
        <v>0</v>
      </c>
      <c r="O559" s="1425">
        <v>0</v>
      </c>
      <c r="P559" s="1426">
        <v>0</v>
      </c>
      <c r="Q559" s="1427">
        <v>0</v>
      </c>
      <c r="R559" s="1428">
        <v>0</v>
      </c>
      <c r="S559" s="1429">
        <v>0</v>
      </c>
      <c r="T559" s="8"/>
      <c r="U559" s="8"/>
      <c r="V559" s="713"/>
      <c r="W559" s="713"/>
      <c r="X559" s="713"/>
      <c r="Y559" s="713"/>
      <c r="Z559" s="713"/>
      <c r="AA559" s="713"/>
      <c r="AB559" s="713"/>
      <c r="AC559" s="713"/>
      <c r="AD559" s="713"/>
      <c r="AE559" s="713"/>
      <c r="AF559" s="713"/>
      <c r="AG559" s="713"/>
      <c r="AH559" s="713"/>
      <c r="AI559" s="713"/>
      <c r="AJ559" s="713"/>
      <c r="AK559" s="713"/>
      <c r="AL559" s="713"/>
      <c r="AM559" s="713"/>
      <c r="AN559" s="713"/>
      <c r="AO559" s="713"/>
      <c r="AP559" s="713"/>
      <c r="AQ559" s="715"/>
    </row>
    <row r="560" spans="1:45" s="707" customFormat="1" ht="12.75" customHeight="1" x14ac:dyDescent="0.25">
      <c r="A560" s="8"/>
      <c r="B560" s="8"/>
      <c r="C560" s="836" t="str">
        <f>$C$33</f>
        <v>Permits Risk</v>
      </c>
      <c r="D560" s="57"/>
      <c r="E560" s="57"/>
      <c r="F560" s="57"/>
      <c r="G560" s="8"/>
      <c r="H560" s="8"/>
      <c r="I560" s="11"/>
      <c r="J560" s="1128"/>
      <c r="K560" s="1128"/>
      <c r="L560" s="1423">
        <v>0</v>
      </c>
      <c r="M560" s="1423">
        <v>0</v>
      </c>
      <c r="N560" s="1430">
        <v>0</v>
      </c>
      <c r="O560" s="1425">
        <v>0</v>
      </c>
      <c r="P560" s="1426">
        <v>0</v>
      </c>
      <c r="Q560" s="1431">
        <v>0</v>
      </c>
      <c r="R560" s="1432">
        <v>0</v>
      </c>
      <c r="S560" s="1433">
        <v>0</v>
      </c>
      <c r="T560" s="8"/>
      <c r="U560" s="8"/>
      <c r="V560" s="713"/>
      <c r="W560" s="713"/>
      <c r="X560" s="713"/>
      <c r="Y560" s="713"/>
      <c r="Z560" s="713"/>
      <c r="AA560" s="713"/>
      <c r="AB560" s="713"/>
      <c r="AC560" s="713"/>
      <c r="AD560" s="713"/>
      <c r="AE560" s="713"/>
      <c r="AF560" s="713"/>
      <c r="AG560" s="713"/>
      <c r="AH560" s="713"/>
      <c r="AI560" s="713"/>
      <c r="AJ560" s="713"/>
      <c r="AK560" s="713"/>
      <c r="AL560" s="713"/>
      <c r="AM560" s="713"/>
      <c r="AN560" s="713"/>
      <c r="AO560" s="713"/>
      <c r="AP560" s="713"/>
      <c r="AQ560" s="715"/>
    </row>
    <row r="561" spans="1:43" s="707" customFormat="1" ht="12.75" customHeight="1" x14ac:dyDescent="0.25">
      <c r="A561" s="8"/>
      <c r="B561" s="8"/>
      <c r="C561" s="836" t="str">
        <f>$C$34</f>
        <v>Social Acceptance Risk</v>
      </c>
      <c r="D561" s="57"/>
      <c r="E561" s="57"/>
      <c r="F561" s="57"/>
      <c r="G561" s="8"/>
      <c r="H561" s="8"/>
      <c r="I561" s="11"/>
      <c r="J561" s="1128"/>
      <c r="K561" s="1128"/>
      <c r="L561" s="1423">
        <v>0</v>
      </c>
      <c r="M561" s="1423">
        <v>0</v>
      </c>
      <c r="N561" s="1430">
        <v>0</v>
      </c>
      <c r="O561" s="1425">
        <v>0</v>
      </c>
      <c r="P561" s="1426">
        <v>0</v>
      </c>
      <c r="Q561" s="1431">
        <v>0</v>
      </c>
      <c r="R561" s="1432">
        <v>0</v>
      </c>
      <c r="S561" s="1433">
        <v>0</v>
      </c>
      <c r="T561" s="8"/>
      <c r="U561" s="8"/>
      <c r="V561" s="713"/>
      <c r="W561" s="713"/>
      <c r="X561" s="713"/>
      <c r="Y561" s="713"/>
      <c r="Z561" s="713"/>
      <c r="AA561" s="713"/>
      <c r="AB561" s="713"/>
      <c r="AC561" s="713"/>
      <c r="AD561" s="713"/>
      <c r="AE561" s="713"/>
      <c r="AF561" s="713"/>
      <c r="AG561" s="713"/>
      <c r="AH561" s="713"/>
      <c r="AI561" s="713"/>
      <c r="AJ561" s="713"/>
      <c r="AK561" s="713"/>
      <c r="AL561" s="713"/>
      <c r="AM561" s="713"/>
      <c r="AN561" s="713"/>
      <c r="AO561" s="713"/>
      <c r="AP561" s="713"/>
      <c r="AQ561" s="715"/>
    </row>
    <row r="562" spans="1:43" s="707" customFormat="1" ht="12.75" customHeight="1" x14ac:dyDescent="0.25">
      <c r="A562" s="8"/>
      <c r="B562" s="8"/>
      <c r="C562" s="836" t="str">
        <f>$C$35</f>
        <v>Resource &amp; Technology Risk</v>
      </c>
      <c r="D562" s="57"/>
      <c r="E562" s="57"/>
      <c r="F562" s="57"/>
      <c r="G562" s="8"/>
      <c r="H562" s="8"/>
      <c r="I562" s="11"/>
      <c r="J562" s="1128"/>
      <c r="K562" s="1128"/>
      <c r="L562" s="1423">
        <v>0</v>
      </c>
      <c r="M562" s="1423">
        <v>0</v>
      </c>
      <c r="N562" s="1430">
        <v>0</v>
      </c>
      <c r="O562" s="1425">
        <v>0</v>
      </c>
      <c r="P562" s="1426">
        <v>0</v>
      </c>
      <c r="Q562" s="1431">
        <v>0</v>
      </c>
      <c r="R562" s="1432">
        <v>0</v>
      </c>
      <c r="S562" s="1433">
        <v>0</v>
      </c>
      <c r="T562" s="8"/>
      <c r="U562" s="8"/>
      <c r="V562" s="713"/>
      <c r="W562" s="713"/>
      <c r="X562" s="713"/>
      <c r="Y562" s="713"/>
      <c r="Z562" s="713"/>
      <c r="AA562" s="713"/>
      <c r="AB562" s="713"/>
      <c r="AC562" s="713"/>
      <c r="AD562" s="713"/>
      <c r="AE562" s="713"/>
      <c r="AF562" s="713"/>
      <c r="AG562" s="713"/>
      <c r="AH562" s="713"/>
      <c r="AI562" s="713"/>
      <c r="AJ562" s="713"/>
      <c r="AK562" s="713"/>
      <c r="AL562" s="713"/>
      <c r="AM562" s="713"/>
      <c r="AN562" s="713"/>
      <c r="AO562" s="713"/>
      <c r="AP562" s="713"/>
      <c r="AQ562" s="715"/>
    </row>
    <row r="563" spans="1:43" s="707" customFormat="1" ht="12.75" customHeight="1" x14ac:dyDescent="0.25">
      <c r="A563" s="8"/>
      <c r="B563" s="8"/>
      <c r="C563" s="836" t="str">
        <f>$C$36</f>
        <v>Grid/Transmission Risk</v>
      </c>
      <c r="D563" s="57"/>
      <c r="E563" s="57"/>
      <c r="F563" s="57"/>
      <c r="G563" s="8"/>
      <c r="H563" s="8"/>
      <c r="I563" s="11"/>
      <c r="J563" s="1128"/>
      <c r="K563" s="1128"/>
      <c r="L563" s="1423">
        <v>0</v>
      </c>
      <c r="M563" s="1423">
        <v>0</v>
      </c>
      <c r="N563" s="1430">
        <v>0</v>
      </c>
      <c r="O563" s="1425">
        <v>0</v>
      </c>
      <c r="P563" s="1426">
        <v>0</v>
      </c>
      <c r="Q563" s="1431">
        <v>0</v>
      </c>
      <c r="R563" s="1432">
        <v>0</v>
      </c>
      <c r="S563" s="1433">
        <v>0</v>
      </c>
      <c r="T563" s="8"/>
      <c r="U563" s="8"/>
      <c r="V563" s="713"/>
      <c r="W563" s="713"/>
      <c r="X563" s="713"/>
      <c r="Y563" s="713"/>
      <c r="Z563" s="713"/>
      <c r="AA563" s="713"/>
      <c r="AB563" s="713"/>
      <c r="AC563" s="713"/>
      <c r="AD563" s="713"/>
      <c r="AE563" s="713"/>
      <c r="AF563" s="713"/>
      <c r="AG563" s="713"/>
      <c r="AH563" s="713"/>
      <c r="AI563" s="713"/>
      <c r="AJ563" s="713"/>
      <c r="AK563" s="713"/>
      <c r="AL563" s="713"/>
      <c r="AM563" s="713"/>
      <c r="AN563" s="713"/>
      <c r="AO563" s="713"/>
      <c r="AP563" s="713"/>
      <c r="AQ563" s="715"/>
    </row>
    <row r="564" spans="1:43" s="707" customFormat="1" ht="12.75" customHeight="1" x14ac:dyDescent="0.25">
      <c r="A564" s="8"/>
      <c r="B564" s="8"/>
      <c r="C564" s="836" t="str">
        <f>$C$37</f>
        <v>Counterparty Risk</v>
      </c>
      <c r="D564" s="57"/>
      <c r="E564" s="57"/>
      <c r="F564" s="57"/>
      <c r="G564" s="8"/>
      <c r="H564" s="8"/>
      <c r="I564" s="11"/>
      <c r="J564" s="1128"/>
      <c r="K564" s="1128"/>
      <c r="L564" s="1423">
        <v>0</v>
      </c>
      <c r="M564" s="1423">
        <v>0</v>
      </c>
      <c r="N564" s="1430">
        <v>0</v>
      </c>
      <c r="O564" s="1425">
        <v>0</v>
      </c>
      <c r="P564" s="1426">
        <v>0</v>
      </c>
      <c r="Q564" s="1431">
        <v>0</v>
      </c>
      <c r="R564" s="1432">
        <v>0</v>
      </c>
      <c r="S564" s="1433">
        <v>0</v>
      </c>
      <c r="T564" s="8"/>
      <c r="U564" s="8"/>
      <c r="V564" s="713"/>
      <c r="W564" s="713"/>
      <c r="X564" s="713"/>
      <c r="Y564" s="713"/>
      <c r="Z564" s="713"/>
      <c r="AA564" s="713"/>
      <c r="AB564" s="713"/>
      <c r="AC564" s="713"/>
      <c r="AD564" s="713"/>
      <c r="AE564" s="713"/>
      <c r="AF564" s="713"/>
      <c r="AG564" s="713"/>
      <c r="AH564" s="713"/>
      <c r="AI564" s="713"/>
      <c r="AJ564" s="713"/>
      <c r="AK564" s="713"/>
      <c r="AL564" s="713"/>
      <c r="AM564" s="713"/>
      <c r="AN564" s="713"/>
      <c r="AO564" s="713"/>
      <c r="AP564" s="713"/>
      <c r="AQ564" s="715"/>
    </row>
    <row r="565" spans="1:43" s="707" customFormat="1" ht="12.75" customHeight="1" x14ac:dyDescent="0.25">
      <c r="A565" s="8"/>
      <c r="B565" s="8"/>
      <c r="C565" s="836" t="str">
        <f>$C$38</f>
        <v>Financial Sector Risk</v>
      </c>
      <c r="D565" s="57"/>
      <c r="E565" s="57"/>
      <c r="F565" s="57"/>
      <c r="G565" s="8"/>
      <c r="H565" s="8"/>
      <c r="I565" s="11"/>
      <c r="J565" s="1128"/>
      <c r="K565" s="1128"/>
      <c r="L565" s="1423">
        <v>0</v>
      </c>
      <c r="M565" s="1423">
        <v>0</v>
      </c>
      <c r="N565" s="1430">
        <v>0</v>
      </c>
      <c r="O565" s="1425">
        <v>0</v>
      </c>
      <c r="P565" s="1426">
        <v>0</v>
      </c>
      <c r="Q565" s="1431">
        <v>0</v>
      </c>
      <c r="R565" s="1432">
        <v>0</v>
      </c>
      <c r="S565" s="1433">
        <v>0</v>
      </c>
      <c r="T565" s="8"/>
      <c r="U565" s="8"/>
      <c r="V565" s="713"/>
      <c r="W565" s="713"/>
      <c r="X565" s="713"/>
      <c r="Y565" s="713"/>
      <c r="Z565" s="713"/>
      <c r="AA565" s="713"/>
      <c r="AB565" s="713"/>
      <c r="AC565" s="713"/>
      <c r="AD565" s="713"/>
      <c r="AE565" s="713"/>
      <c r="AF565" s="713"/>
      <c r="AG565" s="713"/>
      <c r="AH565" s="713"/>
      <c r="AI565" s="713"/>
      <c r="AJ565" s="713"/>
      <c r="AK565" s="713"/>
      <c r="AL565" s="713"/>
      <c r="AM565" s="713"/>
      <c r="AN565" s="713"/>
      <c r="AO565" s="713"/>
      <c r="AP565" s="713"/>
      <c r="AQ565" s="715"/>
    </row>
    <row r="566" spans="1:43" s="707" customFormat="1" ht="12.75" customHeight="1" x14ac:dyDescent="0.25">
      <c r="A566" s="8"/>
      <c r="B566" s="8"/>
      <c r="C566" s="836" t="str">
        <f>$C$39</f>
        <v>Political Risk</v>
      </c>
      <c r="D566" s="57"/>
      <c r="E566" s="57"/>
      <c r="F566" s="57"/>
      <c r="G566" s="8"/>
      <c r="H566" s="8"/>
      <c r="I566" s="11"/>
      <c r="J566" s="1128"/>
      <c r="K566" s="1128"/>
      <c r="L566" s="1423">
        <v>0</v>
      </c>
      <c r="M566" s="1423">
        <v>0</v>
      </c>
      <c r="N566" s="1430">
        <v>0</v>
      </c>
      <c r="O566" s="1425">
        <v>0</v>
      </c>
      <c r="P566" s="1426">
        <v>0</v>
      </c>
      <c r="Q566" s="1431">
        <v>0</v>
      </c>
      <c r="R566" s="1432">
        <v>0</v>
      </c>
      <c r="S566" s="1433">
        <v>0</v>
      </c>
      <c r="T566" s="8"/>
      <c r="U566" s="8"/>
      <c r="V566" s="713"/>
      <c r="W566" s="713"/>
      <c r="X566" s="713"/>
      <c r="Y566" s="713"/>
      <c r="Z566" s="713"/>
      <c r="AA566" s="713"/>
      <c r="AB566" s="713"/>
      <c r="AC566" s="713"/>
      <c r="AD566" s="713"/>
      <c r="AE566" s="713"/>
      <c r="AF566" s="713"/>
      <c r="AG566" s="713"/>
      <c r="AH566" s="713"/>
      <c r="AI566" s="713"/>
      <c r="AJ566" s="713"/>
      <c r="AK566" s="713"/>
      <c r="AL566" s="713"/>
      <c r="AM566" s="713"/>
      <c r="AN566" s="713"/>
      <c r="AO566" s="713"/>
      <c r="AP566" s="713"/>
      <c r="AQ566" s="715"/>
    </row>
    <row r="567" spans="1:43" s="707" customFormat="1" ht="12.75" customHeight="1" x14ac:dyDescent="0.25">
      <c r="A567" s="8"/>
      <c r="B567" s="8"/>
      <c r="C567" s="857" t="str">
        <f>$C$40</f>
        <v>Currency/Macro Risk</v>
      </c>
      <c r="D567" s="857"/>
      <c r="E567" s="857"/>
      <c r="F567" s="857"/>
      <c r="G567" s="857"/>
      <c r="H567" s="857"/>
      <c r="I567" s="857"/>
      <c r="J567" s="857"/>
      <c r="K567" s="857"/>
      <c r="L567" s="1434">
        <v>0</v>
      </c>
      <c r="M567" s="1423">
        <v>0</v>
      </c>
      <c r="N567" s="1430">
        <v>0</v>
      </c>
      <c r="O567" s="1435">
        <v>0</v>
      </c>
      <c r="P567" s="1436">
        <v>0</v>
      </c>
      <c r="Q567" s="1436">
        <v>0</v>
      </c>
      <c r="R567" s="1437">
        <v>0</v>
      </c>
      <c r="S567" s="1438">
        <v>0</v>
      </c>
      <c r="T567" s="8"/>
      <c r="U567" s="8"/>
      <c r="V567" s="713"/>
      <c r="W567" s="713"/>
      <c r="X567" s="713"/>
      <c r="Y567" s="713"/>
      <c r="Z567" s="713"/>
      <c r="AA567" s="713"/>
      <c r="AB567" s="713"/>
      <c r="AC567" s="713"/>
      <c r="AD567" s="713"/>
      <c r="AE567" s="713"/>
      <c r="AF567" s="713"/>
      <c r="AG567" s="713"/>
      <c r="AH567" s="713"/>
      <c r="AI567" s="713"/>
      <c r="AJ567" s="713"/>
      <c r="AK567" s="713"/>
      <c r="AL567" s="713"/>
      <c r="AM567" s="713"/>
      <c r="AN567" s="713"/>
      <c r="AO567" s="713"/>
      <c r="AP567" s="713"/>
      <c r="AQ567" s="715"/>
    </row>
    <row r="568" spans="1:43" s="707" customFormat="1" ht="12.75" customHeight="1" x14ac:dyDescent="0.25">
      <c r="A568" s="8"/>
      <c r="B568" s="8"/>
      <c r="C568" s="56" t="s">
        <v>81</v>
      </c>
      <c r="D568" s="132"/>
      <c r="E568" s="56"/>
      <c r="F568" s="57"/>
      <c r="G568" s="57"/>
      <c r="H568" s="57"/>
      <c r="I568" s="57"/>
      <c r="J568" s="57"/>
      <c r="K568" s="57"/>
      <c r="L568" s="1439">
        <v>0</v>
      </c>
      <c r="M568" s="1440">
        <v>0</v>
      </c>
      <c r="N568" s="1441">
        <v>0</v>
      </c>
      <c r="O568" s="1442">
        <v>0</v>
      </c>
      <c r="P568" s="1443">
        <v>0</v>
      </c>
      <c r="Q568" s="1444">
        <v>0</v>
      </c>
      <c r="R568" s="1445">
        <v>0</v>
      </c>
      <c r="S568" s="1446">
        <v>0</v>
      </c>
      <c r="T568" s="8"/>
      <c r="U568" s="8"/>
      <c r="V568" s="713"/>
      <c r="W568" s="713"/>
      <c r="X568" s="713"/>
      <c r="Y568" s="713"/>
      <c r="Z568" s="713"/>
      <c r="AA568" s="713"/>
      <c r="AB568" s="713"/>
      <c r="AC568" s="713"/>
      <c r="AD568" s="713"/>
      <c r="AE568" s="713"/>
      <c r="AF568" s="713"/>
      <c r="AG568" s="713"/>
      <c r="AH568" s="713"/>
      <c r="AI568" s="713"/>
      <c r="AJ568" s="713"/>
      <c r="AK568" s="713"/>
      <c r="AL568" s="713"/>
      <c r="AM568" s="713"/>
      <c r="AN568" s="713"/>
      <c r="AO568" s="713"/>
      <c r="AP568" s="713"/>
      <c r="AQ568" s="715"/>
    </row>
    <row r="569" spans="1:43" s="707" customFormat="1" ht="12.75" customHeight="1" x14ac:dyDescent="0.25">
      <c r="A569" s="8"/>
      <c r="B569" s="8"/>
      <c r="C569" s="8"/>
      <c r="D569" s="8"/>
      <c r="E569" s="8"/>
      <c r="F569" s="8"/>
      <c r="G569" s="8"/>
      <c r="H569" s="8"/>
      <c r="I569" s="11"/>
      <c r="J569" s="1128"/>
      <c r="K569" s="1128"/>
      <c r="L569" s="1128"/>
      <c r="M569" s="1128"/>
      <c r="N569" s="1128"/>
      <c r="O569" s="1128"/>
      <c r="P569" s="40"/>
      <c r="Q569" s="8"/>
      <c r="R569" s="8"/>
      <c r="S569" s="8"/>
      <c r="T569" s="8"/>
      <c r="U569" s="8"/>
      <c r="V569" s="713"/>
      <c r="W569" s="713"/>
      <c r="X569" s="713"/>
      <c r="Y569" s="713"/>
      <c r="Z569" s="713"/>
      <c r="AA569" s="713"/>
      <c r="AB569" s="713"/>
      <c r="AC569" s="713"/>
      <c r="AD569" s="713"/>
      <c r="AE569" s="713"/>
      <c r="AF569" s="713"/>
      <c r="AG569" s="713"/>
      <c r="AH569" s="713"/>
      <c r="AI569" s="713"/>
      <c r="AJ569" s="713"/>
      <c r="AK569" s="713"/>
      <c r="AL569" s="713"/>
      <c r="AM569" s="713"/>
      <c r="AN569" s="713"/>
      <c r="AO569" s="713"/>
      <c r="AP569" s="713"/>
      <c r="AQ569" s="715"/>
    </row>
    <row r="570" spans="1:43" s="707" customFormat="1" ht="12.75" customHeight="1" x14ac:dyDescent="0.25">
      <c r="A570" s="8"/>
      <c r="B570" s="8"/>
      <c r="C570" s="8"/>
      <c r="D570" s="8"/>
      <c r="E570" s="8"/>
      <c r="F570" s="8"/>
      <c r="G570" s="8"/>
      <c r="H570" s="8"/>
      <c r="I570" s="11"/>
      <c r="J570" s="1128"/>
      <c r="K570" s="1128"/>
      <c r="L570" s="1128"/>
      <c r="M570" s="1128"/>
      <c r="N570" s="1128"/>
      <c r="O570" s="1128"/>
      <c r="P570" s="40"/>
      <c r="Q570" s="8"/>
      <c r="R570" s="8"/>
      <c r="S570" s="8"/>
      <c r="T570" s="8"/>
      <c r="U570" s="8"/>
      <c r="V570" s="713"/>
      <c r="W570" s="713"/>
      <c r="X570" s="713"/>
      <c r="Y570" s="713"/>
      <c r="Z570" s="713"/>
      <c r="AA570" s="713"/>
      <c r="AB570" s="713"/>
      <c r="AC570" s="713"/>
      <c r="AD570" s="713"/>
      <c r="AE570" s="713"/>
      <c r="AF570" s="713"/>
      <c r="AG570" s="713"/>
      <c r="AH570" s="713"/>
      <c r="AI570" s="713"/>
      <c r="AJ570" s="713"/>
      <c r="AK570" s="713"/>
      <c r="AL570" s="713"/>
      <c r="AM570" s="713"/>
      <c r="AN570" s="713"/>
      <c r="AO570" s="713"/>
      <c r="AP570" s="713"/>
      <c r="AQ570" s="715"/>
    </row>
    <row r="571" spans="1:43" s="707" customFormat="1" ht="12.75" customHeight="1" x14ac:dyDescent="0.25">
      <c r="A571" s="8"/>
      <c r="B571" s="8"/>
      <c r="C571" s="8"/>
      <c r="D571" s="8"/>
      <c r="E571" s="8"/>
      <c r="F571" s="8"/>
      <c r="G571" s="8"/>
      <c r="H571" s="8"/>
      <c r="I571" s="11"/>
      <c r="J571" s="1128"/>
      <c r="K571" s="1128"/>
      <c r="L571" s="1128"/>
      <c r="M571" s="1128"/>
      <c r="N571" s="1128"/>
      <c r="O571" s="1128"/>
      <c r="P571" s="40"/>
      <c r="Q571" s="8"/>
      <c r="R571" s="8"/>
      <c r="S571" s="8"/>
      <c r="T571" s="8"/>
      <c r="U571" s="8"/>
      <c r="V571" s="713"/>
      <c r="W571" s="713"/>
      <c r="X571" s="713"/>
      <c r="Y571" s="713"/>
      <c r="Z571" s="713"/>
      <c r="AA571" s="713"/>
      <c r="AB571" s="713"/>
      <c r="AC571" s="713"/>
      <c r="AD571" s="713"/>
      <c r="AE571" s="713"/>
      <c r="AF571" s="713"/>
      <c r="AG571" s="713"/>
      <c r="AH571" s="713"/>
      <c r="AI571" s="713"/>
      <c r="AJ571" s="713"/>
      <c r="AK571" s="713"/>
      <c r="AL571" s="713"/>
      <c r="AM571" s="713"/>
      <c r="AN571" s="713"/>
      <c r="AO571" s="713"/>
      <c r="AP571" s="713"/>
      <c r="AQ571" s="715"/>
    </row>
    <row r="572" spans="1:43" s="707" customFormat="1" ht="12.75" customHeight="1" x14ac:dyDescent="0.25">
      <c r="A572" s="8"/>
      <c r="B572" s="8"/>
      <c r="C572" s="8"/>
      <c r="D572" s="8"/>
      <c r="E572" s="8"/>
      <c r="F572" s="8"/>
      <c r="G572" s="8"/>
      <c r="H572" s="8"/>
      <c r="I572" s="8"/>
      <c r="J572" s="1127"/>
      <c r="K572" s="1127"/>
      <c r="L572" s="1127"/>
      <c r="M572" s="1127"/>
      <c r="N572" s="1518" t="s">
        <v>464</v>
      </c>
      <c r="O572" s="1553"/>
      <c r="P572" s="1553"/>
      <c r="Q572" s="1554"/>
      <c r="R572" s="8"/>
      <c r="S572" s="8"/>
      <c r="T572" s="8"/>
      <c r="U572" s="8"/>
      <c r="V572" s="713"/>
      <c r="W572" s="713"/>
      <c r="X572" s="713"/>
      <c r="Y572" s="713"/>
      <c r="Z572" s="713"/>
      <c r="AA572" s="713"/>
      <c r="AB572" s="713"/>
      <c r="AC572" s="713"/>
      <c r="AD572" s="713"/>
      <c r="AE572" s="713"/>
      <c r="AF572" s="713"/>
      <c r="AG572" s="713"/>
      <c r="AH572" s="713"/>
      <c r="AI572" s="713"/>
      <c r="AJ572" s="713"/>
      <c r="AK572" s="713"/>
      <c r="AL572" s="713"/>
      <c r="AM572" s="713"/>
      <c r="AN572" s="713"/>
      <c r="AO572" s="713"/>
      <c r="AP572" s="713"/>
      <c r="AQ572" s="715"/>
    </row>
    <row r="573" spans="1:43" s="707" customFormat="1" ht="12.75" customHeight="1" x14ac:dyDescent="0.25">
      <c r="A573" s="8"/>
      <c r="B573" s="8"/>
      <c r="C573" s="8"/>
      <c r="D573" s="8"/>
      <c r="E573" s="8"/>
      <c r="F573" s="8"/>
      <c r="G573" s="8"/>
      <c r="H573" s="8"/>
      <c r="I573" s="8"/>
      <c r="J573" s="1127"/>
      <c r="K573" s="1127"/>
      <c r="L573" s="1127"/>
      <c r="M573" s="1127"/>
      <c r="N573" s="1501" t="s">
        <v>200</v>
      </c>
      <c r="O573" s="1502"/>
      <c r="P573" s="1503" t="s">
        <v>201</v>
      </c>
      <c r="Q573" s="1504"/>
      <c r="R573" s="8"/>
      <c r="S573" s="8"/>
      <c r="T573" s="8"/>
      <c r="U573" s="8"/>
      <c r="V573" s="713"/>
      <c r="W573" s="713"/>
      <c r="X573" s="713"/>
      <c r="Y573" s="713"/>
      <c r="Z573" s="713"/>
      <c r="AA573" s="713"/>
      <c r="AB573" s="713"/>
      <c r="AC573" s="713"/>
      <c r="AD573" s="713"/>
      <c r="AE573" s="713"/>
      <c r="AF573" s="713"/>
      <c r="AG573" s="713"/>
      <c r="AH573" s="713"/>
      <c r="AI573" s="713"/>
      <c r="AJ573" s="713"/>
      <c r="AK573" s="713"/>
      <c r="AL573" s="713"/>
      <c r="AM573" s="713"/>
      <c r="AN573" s="713"/>
      <c r="AO573" s="713"/>
      <c r="AP573" s="713"/>
      <c r="AQ573" s="715"/>
    </row>
    <row r="574" spans="1:43" s="707" customFormat="1" ht="12.75" customHeight="1" x14ac:dyDescent="0.25">
      <c r="A574" s="8"/>
      <c r="B574" s="8"/>
      <c r="C574" s="11" t="s">
        <v>465</v>
      </c>
      <c r="D574" s="711"/>
      <c r="E574" s="11"/>
      <c r="F574" s="11"/>
      <c r="G574" s="11"/>
      <c r="H574" s="11"/>
      <c r="I574" s="11"/>
      <c r="J574" s="1128" t="s">
        <v>614</v>
      </c>
      <c r="K574" s="1128"/>
      <c r="L574" s="1128"/>
      <c r="M574" s="1128"/>
      <c r="N574" s="1977">
        <v>0</v>
      </c>
      <c r="O574" s="1978"/>
      <c r="P574" s="1979">
        <v>0</v>
      </c>
      <c r="Q574" s="1980"/>
      <c r="R574" s="8"/>
      <c r="S574" s="8"/>
      <c r="T574" s="8"/>
      <c r="U574" s="8"/>
      <c r="V574" s="713"/>
      <c r="W574" s="713"/>
      <c r="X574" s="713"/>
      <c r="Y574" s="713"/>
      <c r="Z574" s="713"/>
      <c r="AA574" s="713"/>
      <c r="AB574" s="713"/>
      <c r="AC574" s="713"/>
      <c r="AD574" s="713"/>
      <c r="AE574" s="713"/>
      <c r="AF574" s="713"/>
      <c r="AG574" s="713"/>
      <c r="AH574" s="713"/>
      <c r="AI574" s="713"/>
      <c r="AJ574" s="713"/>
      <c r="AK574" s="713"/>
      <c r="AL574" s="713"/>
      <c r="AM574" s="713"/>
      <c r="AN574" s="713"/>
      <c r="AO574" s="713"/>
      <c r="AP574" s="713"/>
      <c r="AQ574" s="715"/>
    </row>
    <row r="575" spans="1:43" s="707" customFormat="1" ht="12.75" customHeight="1" x14ac:dyDescent="0.25">
      <c r="A575" s="8"/>
      <c r="B575" s="8"/>
      <c r="C575" s="11"/>
      <c r="D575" s="8" t="s">
        <v>466</v>
      </c>
      <c r="E575" s="711"/>
      <c r="F575" s="11"/>
      <c r="G575" s="11"/>
      <c r="H575" s="11"/>
      <c r="I575" s="11"/>
      <c r="J575" s="1172" t="s">
        <v>614</v>
      </c>
      <c r="K575" s="1172"/>
      <c r="L575" s="1172"/>
      <c r="M575" s="1173"/>
      <c r="N575" s="2009">
        <v>0</v>
      </c>
      <c r="O575" s="2010"/>
      <c r="P575" s="2011">
        <v>0</v>
      </c>
      <c r="Q575" s="2012"/>
      <c r="R575" s="8"/>
      <c r="S575" s="8"/>
      <c r="T575" s="8"/>
      <c r="U575" s="8"/>
      <c r="V575" s="713"/>
      <c r="W575" s="713"/>
      <c r="X575" s="713"/>
      <c r="Y575" s="713"/>
      <c r="Z575" s="713"/>
      <c r="AA575" s="713"/>
      <c r="AB575" s="713"/>
      <c r="AC575" s="713"/>
      <c r="AD575" s="713"/>
      <c r="AE575" s="713"/>
      <c r="AF575" s="713"/>
      <c r="AG575" s="713"/>
      <c r="AH575" s="713"/>
      <c r="AI575" s="713"/>
      <c r="AJ575" s="713"/>
      <c r="AK575" s="713"/>
      <c r="AL575" s="713"/>
      <c r="AM575" s="713"/>
      <c r="AN575" s="713"/>
      <c r="AO575" s="713"/>
      <c r="AP575" s="713"/>
      <c r="AQ575" s="715"/>
    </row>
    <row r="576" spans="1:43" s="707" customFormat="1" ht="12.75" customHeight="1" x14ac:dyDescent="0.25">
      <c r="A576" s="8"/>
      <c r="B576" s="8"/>
      <c r="C576" s="711"/>
      <c r="D576" s="8" t="s">
        <v>496</v>
      </c>
      <c r="E576" s="711"/>
      <c r="F576" s="11"/>
      <c r="G576" s="11"/>
      <c r="H576" s="11"/>
      <c r="I576" s="11"/>
      <c r="J576" s="1172" t="s">
        <v>614</v>
      </c>
      <c r="K576" s="1172"/>
      <c r="L576" s="1172"/>
      <c r="M576" s="1173"/>
      <c r="N576" s="2013">
        <v>0</v>
      </c>
      <c r="O576" s="2014"/>
      <c r="P576" s="2015">
        <v>0</v>
      </c>
      <c r="Q576" s="2016"/>
      <c r="R576" s="8"/>
      <c r="S576" s="8"/>
      <c r="T576" s="8"/>
      <c r="U576" s="8"/>
      <c r="V576" s="713"/>
      <c r="W576" s="713"/>
      <c r="X576" s="713"/>
      <c r="Y576" s="713"/>
      <c r="Z576" s="713"/>
      <c r="AA576" s="713"/>
      <c r="AB576" s="713"/>
      <c r="AC576" s="713"/>
      <c r="AD576" s="713"/>
      <c r="AE576" s="713"/>
      <c r="AF576" s="713"/>
      <c r="AG576" s="713"/>
      <c r="AH576" s="713"/>
      <c r="AI576" s="713"/>
      <c r="AJ576" s="713"/>
      <c r="AK576" s="713"/>
      <c r="AL576" s="713"/>
      <c r="AM576" s="713"/>
      <c r="AN576" s="713"/>
      <c r="AO576" s="713"/>
      <c r="AP576" s="713"/>
      <c r="AQ576" s="715"/>
    </row>
    <row r="577" spans="1:43" s="707" customFormat="1" ht="12.75" customHeight="1" x14ac:dyDescent="0.25">
      <c r="A577" s="8"/>
      <c r="B577" s="8"/>
      <c r="C577" s="8"/>
      <c r="D577" s="8"/>
      <c r="E577" s="8"/>
      <c r="F577" s="8"/>
      <c r="G577" s="8"/>
      <c r="H577" s="8"/>
      <c r="I577" s="11"/>
      <c r="J577" s="1128"/>
      <c r="K577" s="1128"/>
      <c r="L577" s="1128"/>
      <c r="M577" s="1128"/>
      <c r="N577" s="1128"/>
      <c r="O577" s="1128"/>
      <c r="P577" s="40"/>
      <c r="Q577" s="8"/>
      <c r="R577" s="8"/>
      <c r="S577" s="8"/>
      <c r="T577" s="8"/>
      <c r="U577" s="8"/>
      <c r="V577" s="713"/>
      <c r="W577" s="713"/>
      <c r="X577" s="713"/>
      <c r="Y577" s="713"/>
      <c r="Z577" s="713"/>
      <c r="AA577" s="713"/>
      <c r="AB577" s="713"/>
      <c r="AC577" s="713"/>
      <c r="AD577" s="713"/>
      <c r="AE577" s="713"/>
      <c r="AF577" s="713"/>
      <c r="AG577" s="713"/>
      <c r="AH577" s="713"/>
      <c r="AI577" s="713"/>
      <c r="AJ577" s="713"/>
      <c r="AK577" s="713"/>
      <c r="AL577" s="713"/>
      <c r="AM577" s="713"/>
      <c r="AN577" s="713"/>
      <c r="AO577" s="713"/>
      <c r="AP577" s="713"/>
      <c r="AQ577" s="715"/>
    </row>
    <row r="578" spans="1:43" s="707" customFormat="1" ht="12.75" customHeight="1" x14ac:dyDescent="0.25">
      <c r="A578" s="8"/>
      <c r="B578" s="8"/>
      <c r="C578" s="8"/>
      <c r="D578" s="8"/>
      <c r="E578" s="8"/>
      <c r="F578" s="8"/>
      <c r="G578" s="8"/>
      <c r="H578" s="8"/>
      <c r="I578" s="8"/>
      <c r="J578" s="1128"/>
      <c r="K578" s="1128"/>
      <c r="L578" s="1128"/>
      <c r="M578" s="1128"/>
      <c r="N578" s="1583" t="s">
        <v>464</v>
      </c>
      <c r="O578" s="1584"/>
      <c r="P578" s="1584"/>
      <c r="Q578" s="1585"/>
      <c r="R578" s="8"/>
      <c r="S578" s="8"/>
      <c r="T578" s="8"/>
      <c r="U578" s="8"/>
      <c r="V578" s="713"/>
      <c r="W578" s="713"/>
      <c r="X578" s="713"/>
      <c r="Y578" s="713"/>
      <c r="Z578" s="713"/>
      <c r="AA578" s="713"/>
      <c r="AB578" s="713"/>
      <c r="AC578" s="713"/>
      <c r="AD578" s="713"/>
      <c r="AE578" s="713"/>
      <c r="AF578" s="713"/>
      <c r="AG578" s="713"/>
      <c r="AH578" s="713"/>
      <c r="AI578" s="713"/>
      <c r="AJ578" s="713"/>
      <c r="AK578" s="713"/>
      <c r="AL578" s="713"/>
      <c r="AM578" s="713"/>
      <c r="AN578" s="713"/>
      <c r="AO578" s="713"/>
      <c r="AP578" s="713"/>
      <c r="AQ578" s="715"/>
    </row>
    <row r="579" spans="1:43" s="707" customFormat="1" ht="12.75" customHeight="1" x14ac:dyDescent="0.25">
      <c r="A579" s="8"/>
      <c r="B579" s="8"/>
      <c r="C579" s="11"/>
      <c r="D579" s="11"/>
      <c r="E579" s="11"/>
      <c r="F579" s="11"/>
      <c r="G579" s="11"/>
      <c r="H579" s="11"/>
      <c r="I579" s="8"/>
      <c r="J579" s="1128"/>
      <c r="K579" s="1128"/>
      <c r="L579" s="1128"/>
      <c r="M579" s="1128"/>
      <c r="N579" s="1501" t="s">
        <v>200</v>
      </c>
      <c r="O579" s="1502"/>
      <c r="P579" s="1503" t="s">
        <v>201</v>
      </c>
      <c r="Q579" s="1504"/>
      <c r="R579" s="8"/>
      <c r="S579" s="8"/>
      <c r="T579" s="8"/>
      <c r="U579" s="8"/>
      <c r="V579" s="713"/>
      <c r="W579" s="713"/>
      <c r="X579" s="713"/>
      <c r="Y579" s="713"/>
      <c r="Z579" s="713"/>
      <c r="AA579" s="713"/>
      <c r="AB579" s="713"/>
      <c r="AC579" s="713"/>
      <c r="AD579" s="713"/>
      <c r="AE579" s="713"/>
      <c r="AF579" s="713"/>
      <c r="AG579" s="713"/>
      <c r="AH579" s="713"/>
      <c r="AI579" s="713"/>
      <c r="AJ579" s="713"/>
      <c r="AK579" s="713"/>
      <c r="AL579" s="713"/>
      <c r="AM579" s="713"/>
      <c r="AN579" s="713"/>
      <c r="AO579" s="713"/>
      <c r="AP579" s="713"/>
      <c r="AQ579" s="715"/>
    </row>
    <row r="580" spans="1:43" s="707" customFormat="1" ht="12.75" customHeight="1" x14ac:dyDescent="0.25">
      <c r="A580" s="8"/>
      <c r="B580" s="8"/>
      <c r="C580" s="11" t="s">
        <v>146</v>
      </c>
      <c r="D580" s="11"/>
      <c r="E580" s="11"/>
      <c r="F580" s="11"/>
      <c r="G580" s="11"/>
      <c r="H580" s="11"/>
      <c r="I580" s="8"/>
      <c r="J580" s="1128"/>
      <c r="K580" s="1128"/>
      <c r="L580" s="1128"/>
      <c r="M580" s="1128"/>
      <c r="N580" s="1644"/>
      <c r="O580" s="1645"/>
      <c r="P580" s="1640"/>
      <c r="Q580" s="1641"/>
      <c r="R580" s="8"/>
      <c r="S580" s="8"/>
      <c r="T580" s="8"/>
      <c r="U580" s="8"/>
      <c r="V580" s="713"/>
      <c r="W580" s="713"/>
      <c r="X580" s="713"/>
      <c r="Y580" s="713"/>
      <c r="Z580" s="713"/>
      <c r="AA580" s="713"/>
      <c r="AB580" s="713"/>
      <c r="AC580" s="713"/>
      <c r="AD580" s="713"/>
      <c r="AE580" s="713"/>
      <c r="AF580" s="713"/>
      <c r="AG580" s="713"/>
      <c r="AH580" s="713"/>
      <c r="AI580" s="713"/>
      <c r="AJ580" s="713"/>
      <c r="AK580" s="713"/>
      <c r="AL580" s="713"/>
      <c r="AM580" s="713"/>
      <c r="AN580" s="713"/>
      <c r="AO580" s="713"/>
      <c r="AP580" s="713"/>
      <c r="AQ580" s="715"/>
    </row>
    <row r="581" spans="1:43" s="707" customFormat="1" ht="12.75" customHeight="1" x14ac:dyDescent="0.25">
      <c r="A581" s="8"/>
      <c r="B581" s="8"/>
      <c r="C581" s="11"/>
      <c r="D581" s="11" t="s">
        <v>245</v>
      </c>
      <c r="E581" s="11"/>
      <c r="F581" s="11"/>
      <c r="G581" s="11"/>
      <c r="H581" s="11"/>
      <c r="I581" s="8"/>
      <c r="J581" s="1128"/>
      <c r="K581" s="1128"/>
      <c r="L581" s="1128"/>
      <c r="M581" s="1128"/>
      <c r="N581" s="1985">
        <v>0</v>
      </c>
      <c r="O581" s="1986"/>
      <c r="P581" s="1987">
        <v>0</v>
      </c>
      <c r="Q581" s="1988"/>
      <c r="R581" s="8"/>
      <c r="S581" s="8"/>
      <c r="T581" s="8"/>
      <c r="U581" s="8"/>
      <c r="V581" s="713"/>
      <c r="W581" s="713"/>
      <c r="X581" s="713"/>
      <c r="Y581" s="713"/>
      <c r="Z581" s="713"/>
      <c r="AA581" s="713"/>
      <c r="AB581" s="713"/>
      <c r="AC581" s="713"/>
      <c r="AD581" s="713"/>
      <c r="AE581" s="713"/>
      <c r="AF581" s="713"/>
      <c r="AG581" s="713"/>
      <c r="AH581" s="713"/>
      <c r="AI581" s="713"/>
      <c r="AJ581" s="713"/>
      <c r="AK581" s="713"/>
      <c r="AL581" s="713"/>
      <c r="AM581" s="713"/>
      <c r="AN581" s="713"/>
      <c r="AO581" s="713"/>
      <c r="AP581" s="713"/>
      <c r="AQ581" s="715"/>
    </row>
    <row r="582" spans="1:43" s="707" customFormat="1" ht="12.75" customHeight="1" x14ac:dyDescent="0.25">
      <c r="A582" s="8"/>
      <c r="B582" s="8"/>
      <c r="C582" s="8"/>
      <c r="D582" s="8" t="s">
        <v>471</v>
      </c>
      <c r="E582" s="8"/>
      <c r="F582" s="8"/>
      <c r="G582" s="8"/>
      <c r="H582" s="8"/>
      <c r="I582" s="8"/>
      <c r="J582" s="1127" t="s">
        <v>154</v>
      </c>
      <c r="K582" s="1127"/>
      <c r="L582" s="1127"/>
      <c r="M582" s="1127"/>
      <c r="N582" s="1995">
        <v>0</v>
      </c>
      <c r="O582" s="1996"/>
      <c r="P582" s="1993">
        <v>0</v>
      </c>
      <c r="Q582" s="1994"/>
      <c r="R582" s="8"/>
      <c r="S582" s="8"/>
      <c r="T582" s="8"/>
      <c r="U582" s="8"/>
      <c r="V582" s="713"/>
      <c r="W582" s="713"/>
      <c r="X582" s="713"/>
      <c r="Y582" s="713"/>
      <c r="Z582" s="713"/>
      <c r="AA582" s="713"/>
      <c r="AB582" s="713"/>
      <c r="AC582" s="713"/>
      <c r="AD582" s="713"/>
      <c r="AE582" s="713"/>
      <c r="AF582" s="713"/>
      <c r="AG582" s="713"/>
      <c r="AH582" s="713"/>
      <c r="AI582" s="713"/>
      <c r="AJ582" s="713"/>
      <c r="AK582" s="713"/>
      <c r="AL582" s="713"/>
      <c r="AM582" s="713"/>
      <c r="AN582" s="713"/>
      <c r="AO582" s="713"/>
      <c r="AP582" s="713"/>
      <c r="AQ582" s="715"/>
    </row>
    <row r="583" spans="1:43" s="707" customFormat="1" ht="12.75" customHeight="1" x14ac:dyDescent="0.25">
      <c r="A583" s="8"/>
      <c r="B583" s="8"/>
      <c r="C583" s="8"/>
      <c r="D583" s="1129" t="s">
        <v>533</v>
      </c>
      <c r="E583" s="8"/>
      <c r="F583" s="8"/>
      <c r="G583" s="8"/>
      <c r="H583" s="8"/>
      <c r="I583" s="8"/>
      <c r="J583" s="1127" t="s">
        <v>154</v>
      </c>
      <c r="K583" s="1127"/>
      <c r="L583" s="1127"/>
      <c r="M583" s="1127"/>
      <c r="N583" s="1995">
        <v>0</v>
      </c>
      <c r="O583" s="1996"/>
      <c r="P583" s="1993">
        <v>0</v>
      </c>
      <c r="Q583" s="1994"/>
      <c r="R583" s="8"/>
      <c r="S583" s="8"/>
      <c r="T583" s="8"/>
      <c r="U583" s="8"/>
      <c r="V583" s="713"/>
      <c r="W583" s="713"/>
      <c r="X583" s="713"/>
      <c r="Y583" s="713"/>
      <c r="Z583" s="713"/>
      <c r="AA583" s="713"/>
      <c r="AB583" s="713"/>
      <c r="AC583" s="713"/>
      <c r="AD583" s="713"/>
      <c r="AE583" s="713"/>
      <c r="AF583" s="713"/>
      <c r="AG583" s="713"/>
      <c r="AH583" s="713"/>
      <c r="AI583" s="713"/>
      <c r="AJ583" s="713"/>
      <c r="AK583" s="713"/>
      <c r="AL583" s="713"/>
      <c r="AM583" s="713"/>
      <c r="AN583" s="713"/>
      <c r="AO583" s="713"/>
      <c r="AP583" s="713"/>
      <c r="AQ583" s="715"/>
    </row>
    <row r="584" spans="1:43" s="707" customFormat="1" ht="12.75" customHeight="1" x14ac:dyDescent="0.25">
      <c r="A584" s="8"/>
      <c r="B584" s="8"/>
      <c r="C584" s="8"/>
      <c r="D584" s="8" t="s">
        <v>306</v>
      </c>
      <c r="E584" s="8"/>
      <c r="F584" s="8"/>
      <c r="G584" s="8"/>
      <c r="H584" s="8"/>
      <c r="I584" s="8"/>
      <c r="J584" s="1127" t="s">
        <v>154</v>
      </c>
      <c r="K584" s="1127"/>
      <c r="L584" s="1127"/>
      <c r="M584" s="1127"/>
      <c r="N584" s="1995">
        <v>0</v>
      </c>
      <c r="O584" s="1996"/>
      <c r="P584" s="1993">
        <v>0</v>
      </c>
      <c r="Q584" s="1994"/>
      <c r="R584" s="8"/>
      <c r="S584" s="8"/>
      <c r="T584" s="8"/>
      <c r="U584" s="8"/>
      <c r="V584" s="713"/>
      <c r="W584" s="713"/>
      <c r="X584" s="713"/>
      <c r="Y584" s="713"/>
      <c r="Z584" s="713"/>
      <c r="AA584" s="713"/>
      <c r="AB584" s="713"/>
      <c r="AC584" s="713"/>
      <c r="AD584" s="713"/>
      <c r="AE584" s="713"/>
      <c r="AF584" s="713"/>
      <c r="AG584" s="713"/>
      <c r="AH584" s="713"/>
      <c r="AI584" s="713"/>
      <c r="AJ584" s="713"/>
      <c r="AK584" s="713"/>
      <c r="AL584" s="713"/>
      <c r="AM584" s="713"/>
      <c r="AN584" s="713"/>
      <c r="AO584" s="713"/>
      <c r="AP584" s="713"/>
      <c r="AQ584" s="715"/>
    </row>
    <row r="585" spans="1:43" s="707" customFormat="1" ht="12.75" customHeight="1" x14ac:dyDescent="0.25">
      <c r="A585" s="8"/>
      <c r="B585" s="8"/>
      <c r="C585" s="8"/>
      <c r="D585" s="8" t="s">
        <v>305</v>
      </c>
      <c r="E585" s="8"/>
      <c r="F585" s="8"/>
      <c r="G585" s="8"/>
      <c r="H585" s="8"/>
      <c r="I585" s="8"/>
      <c r="J585" s="1127" t="s">
        <v>154</v>
      </c>
      <c r="K585" s="1127"/>
      <c r="L585" s="1127"/>
      <c r="M585" s="1127"/>
      <c r="N585" s="1995">
        <v>0</v>
      </c>
      <c r="O585" s="1996"/>
      <c r="P585" s="1993">
        <v>0</v>
      </c>
      <c r="Q585" s="1994"/>
      <c r="R585" s="8"/>
      <c r="S585" s="8"/>
      <c r="T585" s="8"/>
      <c r="U585" s="8"/>
      <c r="V585" s="713"/>
      <c r="W585" s="713"/>
      <c r="X585" s="713"/>
      <c r="Y585" s="713"/>
      <c r="Z585" s="713"/>
      <c r="AA585" s="713"/>
      <c r="AB585" s="713"/>
      <c r="AC585" s="713"/>
      <c r="AD585" s="713"/>
      <c r="AE585" s="713"/>
      <c r="AF585" s="713"/>
      <c r="AG585" s="713"/>
      <c r="AH585" s="713"/>
      <c r="AI585" s="713"/>
      <c r="AJ585" s="713"/>
      <c r="AK585" s="713"/>
      <c r="AL585" s="713"/>
      <c r="AM585" s="713"/>
      <c r="AN585" s="713"/>
      <c r="AO585" s="713"/>
      <c r="AP585" s="713"/>
      <c r="AQ585" s="715"/>
    </row>
    <row r="586" spans="1:43" s="707" customFormat="1" ht="12.75" customHeight="1" x14ac:dyDescent="0.25">
      <c r="A586" s="8"/>
      <c r="B586" s="8"/>
      <c r="C586" s="8"/>
      <c r="D586" s="8"/>
      <c r="E586" s="8"/>
      <c r="F586" s="8"/>
      <c r="G586" s="8"/>
      <c r="H586" s="8"/>
      <c r="I586" s="8"/>
      <c r="J586" s="1127"/>
      <c r="K586" s="1127"/>
      <c r="L586" s="1127"/>
      <c r="M586" s="1127"/>
      <c r="N586" s="1413"/>
      <c r="O586" s="1414"/>
      <c r="P586" s="1415"/>
      <c r="Q586" s="1416"/>
      <c r="R586" s="8"/>
      <c r="S586" s="8"/>
      <c r="T586" s="8"/>
      <c r="U586" s="8"/>
      <c r="V586" s="713"/>
      <c r="W586" s="713"/>
      <c r="X586" s="713"/>
      <c r="Y586" s="713"/>
      <c r="Z586" s="713"/>
      <c r="AA586" s="713"/>
      <c r="AB586" s="713"/>
      <c r="AC586" s="713"/>
      <c r="AD586" s="713"/>
      <c r="AE586" s="713"/>
      <c r="AF586" s="713"/>
      <c r="AG586" s="713"/>
      <c r="AH586" s="713"/>
      <c r="AI586" s="713"/>
      <c r="AJ586" s="713"/>
      <c r="AK586" s="713"/>
      <c r="AL586" s="713"/>
      <c r="AM586" s="713"/>
      <c r="AN586" s="713"/>
      <c r="AO586" s="713"/>
      <c r="AP586" s="713"/>
      <c r="AQ586" s="715"/>
    </row>
    <row r="587" spans="1:43" s="707" customFormat="1" ht="12.75" customHeight="1" x14ac:dyDescent="0.25">
      <c r="A587" s="8"/>
      <c r="B587" s="8"/>
      <c r="C587" s="11" t="s">
        <v>147</v>
      </c>
      <c r="D587" s="8"/>
      <c r="E587" s="8"/>
      <c r="F587" s="8"/>
      <c r="G587" s="8"/>
      <c r="H587" s="8"/>
      <c r="I587" s="8"/>
      <c r="J587" s="1127"/>
      <c r="K587" s="1127"/>
      <c r="L587" s="1127"/>
      <c r="M587" s="1127"/>
      <c r="N587" s="1413"/>
      <c r="O587" s="1414"/>
      <c r="P587" s="1415"/>
      <c r="Q587" s="1416"/>
      <c r="R587" s="8"/>
      <c r="S587" s="8"/>
      <c r="T587" s="8"/>
      <c r="U587" s="8"/>
      <c r="V587" s="713"/>
      <c r="W587" s="713"/>
      <c r="X587" s="713"/>
      <c r="Y587" s="713"/>
      <c r="Z587" s="713"/>
      <c r="AA587" s="713"/>
      <c r="AB587" s="713"/>
      <c r="AC587" s="713"/>
      <c r="AD587" s="713"/>
      <c r="AE587" s="713"/>
      <c r="AF587" s="713"/>
      <c r="AG587" s="713"/>
      <c r="AH587" s="713"/>
      <c r="AI587" s="713"/>
      <c r="AJ587" s="713"/>
      <c r="AK587" s="713"/>
      <c r="AL587" s="713"/>
      <c r="AM587" s="713"/>
      <c r="AN587" s="713"/>
      <c r="AO587" s="713"/>
      <c r="AP587" s="713"/>
      <c r="AQ587" s="715"/>
    </row>
    <row r="588" spans="1:43" s="707" customFormat="1" ht="12.75" customHeight="1" x14ac:dyDescent="0.25">
      <c r="A588" s="8"/>
      <c r="B588" s="8"/>
      <c r="C588" s="8"/>
      <c r="D588" s="11" t="s">
        <v>245</v>
      </c>
      <c r="E588" s="11"/>
      <c r="F588" s="11"/>
      <c r="G588" s="11"/>
      <c r="H588" s="11"/>
      <c r="I588" s="8"/>
      <c r="J588" s="1128"/>
      <c r="K588" s="1128"/>
      <c r="L588" s="1128"/>
      <c r="M588" s="1128"/>
      <c r="N588" s="1995"/>
      <c r="O588" s="2019"/>
      <c r="P588" s="1987">
        <v>0</v>
      </c>
      <c r="Q588" s="1988"/>
      <c r="R588" s="8"/>
      <c r="S588" s="8"/>
      <c r="T588" s="8"/>
      <c r="U588" s="8"/>
      <c r="V588" s="713"/>
      <c r="W588" s="713"/>
      <c r="X588" s="713"/>
      <c r="Y588" s="713"/>
      <c r="Z588" s="713"/>
      <c r="AA588" s="713"/>
      <c r="AB588" s="713"/>
      <c r="AC588" s="713"/>
      <c r="AD588" s="713"/>
      <c r="AE588" s="713"/>
      <c r="AF588" s="713"/>
      <c r="AG588" s="713"/>
      <c r="AH588" s="713"/>
      <c r="AI588" s="713"/>
      <c r="AJ588" s="713"/>
      <c r="AK588" s="713"/>
      <c r="AL588" s="713"/>
      <c r="AM588" s="713"/>
      <c r="AN588" s="713"/>
      <c r="AO588" s="713"/>
      <c r="AP588" s="713"/>
      <c r="AQ588" s="715"/>
    </row>
    <row r="589" spans="1:43" s="707" customFormat="1" ht="12.75" customHeight="1" x14ac:dyDescent="0.25">
      <c r="A589" s="8"/>
      <c r="B589" s="8"/>
      <c r="C589" s="8"/>
      <c r="D589" s="8" t="s">
        <v>306</v>
      </c>
      <c r="E589" s="8"/>
      <c r="F589" s="8"/>
      <c r="G589" s="8"/>
      <c r="H589" s="8"/>
      <c r="I589" s="8"/>
      <c r="J589" s="1127" t="s">
        <v>154</v>
      </c>
      <c r="K589" s="1127"/>
      <c r="L589" s="1127"/>
      <c r="M589" s="1127"/>
      <c r="N589" s="1995">
        <v>0</v>
      </c>
      <c r="O589" s="1996"/>
      <c r="P589" s="1993">
        <v>0</v>
      </c>
      <c r="Q589" s="1994"/>
      <c r="R589" s="8"/>
      <c r="S589" s="8"/>
      <c r="T589" s="8"/>
      <c r="U589" s="8"/>
      <c r="V589" s="713"/>
      <c r="W589" s="713"/>
      <c r="X589" s="713"/>
      <c r="Y589" s="713"/>
      <c r="Z589" s="713"/>
      <c r="AA589" s="713"/>
      <c r="AB589" s="713"/>
      <c r="AC589" s="713"/>
      <c r="AD589" s="713"/>
      <c r="AE589" s="713"/>
      <c r="AF589" s="713"/>
      <c r="AG589" s="713"/>
      <c r="AH589" s="713"/>
      <c r="AI589" s="713"/>
      <c r="AJ589" s="713"/>
      <c r="AK589" s="713"/>
      <c r="AL589" s="713"/>
      <c r="AM589" s="713"/>
      <c r="AN589" s="713"/>
      <c r="AO589" s="713"/>
      <c r="AP589" s="713"/>
      <c r="AQ589" s="715"/>
    </row>
    <row r="590" spans="1:43" s="707" customFormat="1" ht="12.75" customHeight="1" x14ac:dyDescent="0.25">
      <c r="A590" s="8"/>
      <c r="B590" s="8"/>
      <c r="C590" s="8"/>
      <c r="D590" s="8" t="s">
        <v>305</v>
      </c>
      <c r="E590" s="8"/>
      <c r="F590" s="8"/>
      <c r="G590" s="8"/>
      <c r="H590" s="8"/>
      <c r="I590" s="8"/>
      <c r="J590" s="1127" t="s">
        <v>154</v>
      </c>
      <c r="K590" s="1127"/>
      <c r="L590" s="1127"/>
      <c r="M590" s="1127"/>
      <c r="N590" s="1995">
        <v>0</v>
      </c>
      <c r="O590" s="1996"/>
      <c r="P590" s="1993">
        <v>0</v>
      </c>
      <c r="Q590" s="1994"/>
      <c r="R590" s="8"/>
      <c r="S590" s="8"/>
      <c r="T590" s="8"/>
      <c r="U590" s="8"/>
      <c r="V590" s="713"/>
      <c r="W590" s="713"/>
      <c r="X590" s="713"/>
      <c r="Y590" s="713"/>
      <c r="Z590" s="713"/>
      <c r="AA590" s="713"/>
      <c r="AB590" s="713"/>
      <c r="AC590" s="713"/>
      <c r="AD590" s="713"/>
      <c r="AE590" s="713"/>
      <c r="AF590" s="713"/>
      <c r="AG590" s="713"/>
      <c r="AH590" s="713"/>
      <c r="AI590" s="713"/>
      <c r="AJ590" s="713"/>
      <c r="AK590" s="713"/>
      <c r="AL590" s="713"/>
      <c r="AM590" s="713"/>
      <c r="AN590" s="713"/>
      <c r="AO590" s="713"/>
      <c r="AP590" s="713"/>
      <c r="AQ590" s="715"/>
    </row>
    <row r="591" spans="1:43" s="707" customFormat="1" ht="12.75" customHeight="1" x14ac:dyDescent="0.25">
      <c r="A591" s="8"/>
      <c r="B591" s="8"/>
      <c r="C591" s="8"/>
      <c r="D591" s="1634" t="s">
        <v>534</v>
      </c>
      <c r="E591" s="1634"/>
      <c r="F591" s="1634"/>
      <c r="G591" s="1634"/>
      <c r="H591" s="1634"/>
      <c r="I591" s="1634"/>
      <c r="J591" s="1127" t="s">
        <v>154</v>
      </c>
      <c r="K591" s="1127"/>
      <c r="L591" s="1127"/>
      <c r="M591" s="1127"/>
      <c r="N591" s="1995">
        <v>0</v>
      </c>
      <c r="O591" s="1996"/>
      <c r="P591" s="1993">
        <v>0</v>
      </c>
      <c r="Q591" s="1994"/>
      <c r="R591" s="29"/>
      <c r="S591" s="8"/>
      <c r="T591" s="8"/>
      <c r="U591" s="8"/>
      <c r="V591" s="713"/>
      <c r="W591" s="713"/>
      <c r="X591" s="713"/>
      <c r="Y591" s="713"/>
      <c r="Z591" s="713"/>
      <c r="AA591" s="713"/>
      <c r="AB591" s="713"/>
      <c r="AC591" s="713"/>
      <c r="AD591" s="713"/>
      <c r="AE591" s="713"/>
      <c r="AF591" s="713"/>
      <c r="AG591" s="713"/>
      <c r="AH591" s="713"/>
      <c r="AI591" s="713"/>
      <c r="AJ591" s="713"/>
      <c r="AK591" s="713"/>
      <c r="AL591" s="713"/>
      <c r="AM591" s="713"/>
      <c r="AN591" s="713"/>
      <c r="AO591" s="713"/>
      <c r="AP591" s="713"/>
      <c r="AQ591" s="715"/>
    </row>
    <row r="592" spans="1:43" s="707" customFormat="1" ht="12.75" customHeight="1" x14ac:dyDescent="0.25">
      <c r="A592" s="756"/>
      <c r="B592" s="8"/>
      <c r="C592" s="8"/>
      <c r="D592" s="1634" t="s">
        <v>535</v>
      </c>
      <c r="E592" s="1634"/>
      <c r="F592" s="1634"/>
      <c r="G592" s="1634"/>
      <c r="H592" s="1634"/>
      <c r="I592" s="1634"/>
      <c r="J592" s="1127" t="s">
        <v>154</v>
      </c>
      <c r="K592" s="1127"/>
      <c r="L592" s="1127"/>
      <c r="M592" s="1127"/>
      <c r="N592" s="1995"/>
      <c r="O592" s="1996"/>
      <c r="P592" s="1993">
        <v>0</v>
      </c>
      <c r="Q592" s="1994"/>
      <c r="R592" s="8"/>
      <c r="S592" s="8"/>
      <c r="T592" s="8"/>
      <c r="U592" s="8"/>
      <c r="V592" s="713"/>
      <c r="W592" s="713"/>
      <c r="X592" s="713"/>
      <c r="Y592" s="713"/>
      <c r="Z592" s="713"/>
      <c r="AA592" s="713"/>
      <c r="AB592" s="713"/>
      <c r="AC592" s="713"/>
      <c r="AD592" s="713"/>
      <c r="AE592" s="713"/>
      <c r="AF592" s="713"/>
      <c r="AG592" s="713"/>
      <c r="AH592" s="713"/>
      <c r="AI592" s="713"/>
      <c r="AJ592" s="713"/>
      <c r="AK592" s="713"/>
      <c r="AL592" s="713"/>
      <c r="AM592" s="713"/>
      <c r="AN592" s="713"/>
      <c r="AO592" s="713"/>
      <c r="AP592" s="713"/>
      <c r="AQ592" s="715"/>
    </row>
    <row r="593" spans="1:45" s="707" customFormat="1" ht="12.75" customHeight="1" x14ac:dyDescent="0.25">
      <c r="A593" s="8"/>
      <c r="B593" s="8"/>
      <c r="C593" s="8"/>
      <c r="D593" s="8"/>
      <c r="E593" s="8"/>
      <c r="F593" s="8"/>
      <c r="G593" s="8"/>
      <c r="H593" s="8"/>
      <c r="I593" s="8"/>
      <c r="J593" s="1127"/>
      <c r="K593" s="1127"/>
      <c r="L593" s="1127"/>
      <c r="M593" s="1127"/>
      <c r="N593" s="1413"/>
      <c r="O593" s="1414"/>
      <c r="P593" s="1415"/>
      <c r="Q593" s="1416"/>
      <c r="R593" s="8"/>
      <c r="S593" s="8"/>
      <c r="T593" s="8"/>
      <c r="U593" s="8"/>
      <c r="V593" s="713"/>
      <c r="W593" s="713"/>
      <c r="X593" s="713"/>
      <c r="Y593" s="713"/>
      <c r="Z593" s="713"/>
      <c r="AA593" s="713"/>
      <c r="AB593" s="713"/>
      <c r="AC593" s="713"/>
      <c r="AD593" s="713"/>
      <c r="AE593" s="713"/>
      <c r="AF593" s="713"/>
      <c r="AG593" s="713"/>
      <c r="AH593" s="713"/>
      <c r="AI593" s="713"/>
      <c r="AJ593" s="713"/>
      <c r="AK593" s="713"/>
      <c r="AL593" s="713"/>
      <c r="AM593" s="713"/>
      <c r="AN593" s="713"/>
      <c r="AO593" s="713"/>
      <c r="AP593" s="713"/>
      <c r="AQ593" s="715"/>
    </row>
    <row r="594" spans="1:45" s="707" customFormat="1" ht="12.75" customHeight="1" x14ac:dyDescent="0.25">
      <c r="A594" s="8"/>
      <c r="B594" s="8"/>
      <c r="C594" s="11" t="s">
        <v>186</v>
      </c>
      <c r="D594" s="11"/>
      <c r="E594" s="11"/>
      <c r="F594" s="11"/>
      <c r="G594" s="11"/>
      <c r="H594" s="11"/>
      <c r="I594" s="8"/>
      <c r="J594" s="747"/>
      <c r="K594" s="747"/>
      <c r="L594" s="747"/>
      <c r="M594" s="747"/>
      <c r="N594" s="1989"/>
      <c r="O594" s="1990"/>
      <c r="P594" s="1991"/>
      <c r="Q594" s="1992"/>
      <c r="R594" s="8"/>
      <c r="S594" s="8"/>
      <c r="T594" s="8"/>
      <c r="U594" s="8"/>
      <c r="V594" s="713"/>
      <c r="W594" s="713"/>
      <c r="X594" s="713"/>
      <c r="Y594" s="713"/>
      <c r="Z594" s="713"/>
      <c r="AA594" s="713"/>
      <c r="AB594" s="713"/>
      <c r="AC594" s="713"/>
      <c r="AD594" s="713"/>
      <c r="AE594" s="713"/>
      <c r="AF594" s="713"/>
      <c r="AG594" s="713"/>
      <c r="AH594" s="713"/>
      <c r="AI594" s="713"/>
      <c r="AJ594" s="713"/>
      <c r="AK594" s="713"/>
      <c r="AL594" s="713"/>
      <c r="AM594" s="713"/>
      <c r="AN594" s="713"/>
      <c r="AO594" s="713"/>
      <c r="AP594" s="713"/>
      <c r="AQ594" s="715"/>
    </row>
    <row r="595" spans="1:45" s="707" customFormat="1" ht="12.75" customHeight="1" x14ac:dyDescent="0.25">
      <c r="A595" s="8"/>
      <c r="B595" s="8"/>
      <c r="C595" s="8"/>
      <c r="D595" s="8" t="s">
        <v>472</v>
      </c>
      <c r="E595" s="8"/>
      <c r="F595" s="8"/>
      <c r="G595" s="8"/>
      <c r="H595" s="8"/>
      <c r="I595" s="8"/>
      <c r="J595" s="1127" t="s">
        <v>614</v>
      </c>
      <c r="K595" s="1127"/>
      <c r="L595" s="1127"/>
      <c r="M595" s="1127"/>
      <c r="N595" s="2001">
        <v>0</v>
      </c>
      <c r="O595" s="2002"/>
      <c r="P595" s="2003">
        <v>0</v>
      </c>
      <c r="Q595" s="2004"/>
      <c r="R595" s="8"/>
      <c r="S595" s="8"/>
      <c r="T595" s="8"/>
      <c r="U595" s="8"/>
      <c r="V595" s="713"/>
      <c r="W595" s="713"/>
      <c r="X595" s="713"/>
      <c r="Y595" s="713"/>
      <c r="Z595" s="713"/>
      <c r="AA595" s="713"/>
      <c r="AB595" s="713"/>
      <c r="AC595" s="713"/>
      <c r="AD595" s="713"/>
      <c r="AE595" s="713"/>
      <c r="AF595" s="713"/>
      <c r="AG595" s="713"/>
      <c r="AH595" s="713"/>
      <c r="AI595" s="713"/>
      <c r="AJ595" s="713"/>
      <c r="AK595" s="713"/>
      <c r="AL595" s="713"/>
      <c r="AM595" s="713"/>
      <c r="AN595" s="713"/>
      <c r="AO595" s="713"/>
      <c r="AP595" s="713"/>
      <c r="AQ595" s="715"/>
    </row>
    <row r="596" spans="1:45" s="707" customFormat="1" ht="12.75" customHeight="1" x14ac:dyDescent="0.25">
      <c r="A596" s="8"/>
      <c r="B596" s="8"/>
      <c r="C596" s="8"/>
      <c r="D596" s="8" t="s">
        <v>473</v>
      </c>
      <c r="E596" s="8"/>
      <c r="F596" s="8"/>
      <c r="G596" s="8"/>
      <c r="H596" s="8"/>
      <c r="I596" s="8"/>
      <c r="J596" s="1127" t="s">
        <v>16</v>
      </c>
      <c r="K596" s="1127"/>
      <c r="L596" s="1127"/>
      <c r="M596" s="1127"/>
      <c r="N596" s="1417"/>
      <c r="O596" s="1414"/>
      <c r="P596" s="2017">
        <v>0</v>
      </c>
      <c r="Q596" s="2018"/>
      <c r="R596" s="8"/>
      <c r="S596" s="8"/>
      <c r="T596" s="8"/>
      <c r="U596" s="8"/>
      <c r="V596" s="713"/>
      <c r="W596" s="713"/>
      <c r="X596" s="713"/>
      <c r="Y596" s="713"/>
      <c r="Z596" s="713"/>
      <c r="AA596" s="713"/>
      <c r="AB596" s="713"/>
      <c r="AC596" s="713"/>
      <c r="AD596" s="713"/>
      <c r="AE596" s="713"/>
      <c r="AF596" s="713"/>
      <c r="AG596" s="713"/>
      <c r="AH596" s="713"/>
      <c r="AI596" s="713"/>
      <c r="AJ596" s="713"/>
      <c r="AK596" s="713"/>
      <c r="AL596" s="713"/>
      <c r="AM596" s="713"/>
      <c r="AN596" s="713"/>
      <c r="AO596" s="713"/>
      <c r="AP596" s="713"/>
      <c r="AQ596" s="715"/>
    </row>
    <row r="597" spans="1:45" s="707" customFormat="1" ht="12.75" customHeight="1" x14ac:dyDescent="0.25">
      <c r="A597" s="8"/>
      <c r="B597" s="8"/>
      <c r="C597" s="8"/>
      <c r="D597" s="8" t="s">
        <v>276</v>
      </c>
      <c r="E597" s="8"/>
      <c r="F597" s="8"/>
      <c r="G597" s="8"/>
      <c r="H597" s="8"/>
      <c r="I597" s="8"/>
      <c r="J597" s="1127" t="s">
        <v>614</v>
      </c>
      <c r="K597" s="1127"/>
      <c r="L597" s="1127"/>
      <c r="M597" s="1127"/>
      <c r="N597" s="2001">
        <v>0</v>
      </c>
      <c r="O597" s="2002"/>
      <c r="P597" s="2003">
        <v>0</v>
      </c>
      <c r="Q597" s="2004"/>
      <c r="R597" s="8"/>
      <c r="S597" s="8"/>
      <c r="T597" s="8"/>
      <c r="U597" s="8"/>
      <c r="V597" s="713"/>
      <c r="W597" s="713"/>
      <c r="X597" s="713"/>
      <c r="Y597" s="713"/>
      <c r="Z597" s="713"/>
      <c r="AA597" s="713"/>
      <c r="AB597" s="713"/>
      <c r="AC597" s="713"/>
      <c r="AD597" s="713"/>
      <c r="AE597" s="713"/>
      <c r="AF597" s="713"/>
      <c r="AG597" s="713"/>
      <c r="AH597" s="713"/>
      <c r="AI597" s="713"/>
      <c r="AJ597" s="713"/>
      <c r="AK597" s="713"/>
      <c r="AL597" s="713"/>
      <c r="AM597" s="713"/>
      <c r="AN597" s="713"/>
      <c r="AO597" s="713"/>
      <c r="AP597" s="713"/>
      <c r="AQ597" s="715"/>
    </row>
    <row r="598" spans="1:45" s="707" customFormat="1" ht="12.75" customHeight="1" x14ac:dyDescent="0.25">
      <c r="A598" s="8"/>
      <c r="B598" s="8"/>
      <c r="C598" s="8"/>
      <c r="D598" s="8" t="s">
        <v>307</v>
      </c>
      <c r="E598" s="8"/>
      <c r="F598" s="8"/>
      <c r="G598" s="8"/>
      <c r="H598" s="8"/>
      <c r="I598" s="8"/>
      <c r="J598" s="1127" t="s">
        <v>614</v>
      </c>
      <c r="K598" s="1127"/>
      <c r="L598" s="1127"/>
      <c r="M598" s="1127"/>
      <c r="N598" s="2001">
        <v>0</v>
      </c>
      <c r="O598" s="2002"/>
      <c r="P598" s="2003">
        <v>0</v>
      </c>
      <c r="Q598" s="2004"/>
      <c r="R598" s="8"/>
      <c r="S598" s="8"/>
      <c r="T598" s="8"/>
      <c r="U598" s="8"/>
      <c r="V598" s="713"/>
      <c r="W598" s="713"/>
      <c r="X598" s="713"/>
      <c r="Y598" s="713"/>
      <c r="Z598" s="713"/>
      <c r="AA598" s="713"/>
      <c r="AB598" s="713"/>
      <c r="AC598" s="713"/>
      <c r="AD598" s="713"/>
      <c r="AE598" s="713"/>
      <c r="AF598" s="713"/>
      <c r="AG598" s="713"/>
      <c r="AH598" s="713"/>
      <c r="AI598" s="713"/>
      <c r="AJ598" s="713"/>
      <c r="AK598" s="713"/>
      <c r="AL598" s="713"/>
      <c r="AM598" s="713"/>
      <c r="AN598" s="713"/>
      <c r="AO598" s="713"/>
      <c r="AP598" s="713"/>
      <c r="AQ598" s="715"/>
    </row>
    <row r="599" spans="1:45" s="707" customFormat="1" ht="12.75" customHeight="1" x14ac:dyDescent="0.25">
      <c r="A599" s="8"/>
      <c r="B599" s="8"/>
      <c r="C599" s="8"/>
      <c r="D599" s="8"/>
      <c r="E599" s="8"/>
      <c r="F599" s="8"/>
      <c r="G599" s="8"/>
      <c r="H599" s="8"/>
      <c r="I599" s="8"/>
      <c r="J599" s="1127"/>
      <c r="K599" s="1127"/>
      <c r="L599" s="1127"/>
      <c r="M599" s="1127"/>
      <c r="N599" s="1417"/>
      <c r="O599" s="1418"/>
      <c r="P599" s="1419"/>
      <c r="Q599" s="1420"/>
      <c r="R599" s="8"/>
      <c r="S599" s="8"/>
      <c r="T599" s="8"/>
      <c r="U599" s="8"/>
      <c r="V599" s="713"/>
      <c r="W599" s="713"/>
      <c r="X599" s="713"/>
      <c r="Y599" s="713"/>
      <c r="Z599" s="713"/>
      <c r="AA599" s="713"/>
      <c r="AB599" s="713"/>
      <c r="AC599" s="713"/>
      <c r="AD599" s="713"/>
      <c r="AE599" s="713"/>
      <c r="AF599" s="713"/>
      <c r="AG599" s="713"/>
      <c r="AH599" s="713"/>
      <c r="AI599" s="713"/>
      <c r="AJ599" s="713"/>
      <c r="AK599" s="713"/>
      <c r="AL599" s="713"/>
      <c r="AM599" s="713"/>
      <c r="AN599" s="713"/>
      <c r="AO599" s="713"/>
      <c r="AP599" s="713"/>
      <c r="AQ599" s="715"/>
    </row>
    <row r="600" spans="1:45" s="707" customFormat="1" ht="12.75" customHeight="1" x14ac:dyDescent="0.25">
      <c r="A600" s="8"/>
      <c r="B600" s="8"/>
      <c r="C600" s="11" t="s">
        <v>148</v>
      </c>
      <c r="D600" s="11"/>
      <c r="E600" s="11"/>
      <c r="F600" s="11"/>
      <c r="G600" s="11"/>
      <c r="H600" s="11"/>
      <c r="I600" s="8"/>
      <c r="J600" s="747"/>
      <c r="K600" s="747"/>
      <c r="L600" s="747"/>
      <c r="M600" s="747"/>
      <c r="N600" s="1989"/>
      <c r="O600" s="1990"/>
      <c r="P600" s="1991"/>
      <c r="Q600" s="1992"/>
      <c r="R600" s="8"/>
      <c r="S600" s="8"/>
      <c r="T600" s="8"/>
      <c r="U600" s="8"/>
      <c r="V600" s="713"/>
      <c r="W600" s="713"/>
      <c r="X600" s="713"/>
      <c r="Y600" s="713"/>
      <c r="Z600" s="713"/>
      <c r="AA600" s="713"/>
      <c r="AB600" s="713"/>
      <c r="AC600" s="713"/>
      <c r="AD600" s="713"/>
      <c r="AE600" s="713"/>
      <c r="AF600" s="713"/>
      <c r="AG600" s="713"/>
      <c r="AH600" s="713"/>
      <c r="AI600" s="713"/>
      <c r="AJ600" s="713"/>
      <c r="AK600" s="713"/>
      <c r="AL600" s="713"/>
      <c r="AM600" s="713"/>
      <c r="AN600" s="713"/>
      <c r="AO600" s="713"/>
      <c r="AP600" s="713"/>
      <c r="AQ600" s="715"/>
    </row>
    <row r="601" spans="1:45" s="711" customFormat="1" ht="12.75" customHeight="1" x14ac:dyDescent="0.25">
      <c r="A601" s="710"/>
      <c r="B601" s="8"/>
      <c r="C601" s="8"/>
      <c r="D601" s="8"/>
      <c r="E601" s="1411" t="s">
        <v>629</v>
      </c>
      <c r="F601" s="8"/>
      <c r="G601" s="8"/>
      <c r="H601" s="8"/>
      <c r="I601" s="8"/>
      <c r="J601" s="1409" t="s">
        <v>617</v>
      </c>
      <c r="K601" s="1409"/>
      <c r="L601" s="1409"/>
      <c r="M601" s="1409"/>
      <c r="N601" s="1967">
        <v>0</v>
      </c>
      <c r="O601" s="1968"/>
      <c r="P601" s="1969">
        <v>0</v>
      </c>
      <c r="Q601" s="1970"/>
      <c r="R601" s="8"/>
      <c r="S601" s="8"/>
      <c r="T601" s="8"/>
      <c r="U601" s="8"/>
      <c r="V601" s="713"/>
      <c r="W601" s="713"/>
      <c r="X601" s="713"/>
      <c r="Y601" s="713"/>
      <c r="Z601" s="713"/>
      <c r="AA601" s="713"/>
      <c r="AB601" s="713"/>
      <c r="AC601" s="713"/>
      <c r="AD601" s="713"/>
      <c r="AE601" s="713"/>
      <c r="AF601" s="713"/>
      <c r="AG601" s="713"/>
      <c r="AH601" s="713"/>
      <c r="AI601" s="713"/>
      <c r="AJ601" s="713"/>
      <c r="AK601" s="713"/>
      <c r="AL601" s="713"/>
      <c r="AM601" s="713"/>
      <c r="AN601" s="713"/>
      <c r="AO601" s="713"/>
      <c r="AP601" s="714"/>
      <c r="AQ601" s="715"/>
      <c r="AR601" s="707"/>
      <c r="AS601" s="707"/>
    </row>
    <row r="602" spans="1:45" s="711" customFormat="1" ht="12.75" customHeight="1" x14ac:dyDescent="0.25">
      <c r="A602" s="710"/>
      <c r="B602" s="8"/>
      <c r="C602" s="8"/>
      <c r="D602" s="8"/>
      <c r="E602" s="1411" t="s">
        <v>630</v>
      </c>
      <c r="F602" s="8"/>
      <c r="G602" s="8"/>
      <c r="H602" s="8"/>
      <c r="I602" s="8"/>
      <c r="J602" s="1409" t="s">
        <v>617</v>
      </c>
      <c r="K602" s="1409"/>
      <c r="L602" s="1409"/>
      <c r="M602" s="1409"/>
      <c r="N602" s="1967">
        <v>0</v>
      </c>
      <c r="O602" s="1968"/>
      <c r="P602" s="1969">
        <v>0</v>
      </c>
      <c r="Q602" s="1970"/>
      <c r="R602" s="8"/>
      <c r="S602" s="8"/>
      <c r="T602" s="8"/>
      <c r="U602" s="8"/>
      <c r="V602" s="713"/>
      <c r="W602" s="713"/>
      <c r="X602" s="713"/>
      <c r="Y602" s="713"/>
      <c r="Z602" s="713"/>
      <c r="AA602" s="713"/>
      <c r="AB602" s="713"/>
      <c r="AC602" s="713"/>
      <c r="AD602" s="713"/>
      <c r="AE602" s="713"/>
      <c r="AF602" s="713"/>
      <c r="AG602" s="713"/>
      <c r="AH602" s="713"/>
      <c r="AI602" s="713"/>
      <c r="AJ602" s="713"/>
      <c r="AK602" s="713"/>
      <c r="AL602" s="713"/>
      <c r="AM602" s="713"/>
      <c r="AN602" s="713"/>
      <c r="AO602" s="713"/>
      <c r="AP602" s="714"/>
      <c r="AQ602" s="715"/>
      <c r="AR602" s="707"/>
      <c r="AS602" s="707"/>
    </row>
    <row r="603" spans="1:45" s="711" customFormat="1" ht="12.75" customHeight="1" x14ac:dyDescent="0.25">
      <c r="A603" s="710"/>
      <c r="B603" s="8"/>
      <c r="C603" s="8"/>
      <c r="D603" s="8"/>
      <c r="E603" s="1411" t="s">
        <v>631</v>
      </c>
      <c r="F603" s="8"/>
      <c r="G603" s="8"/>
      <c r="H603" s="8"/>
      <c r="I603" s="8"/>
      <c r="J603" s="1409" t="s">
        <v>617</v>
      </c>
      <c r="K603" s="1409"/>
      <c r="L603" s="1409"/>
      <c r="M603" s="1409"/>
      <c r="N603" s="1967">
        <v>0</v>
      </c>
      <c r="O603" s="1968"/>
      <c r="P603" s="1969">
        <v>0</v>
      </c>
      <c r="Q603" s="1970"/>
      <c r="R603" s="8"/>
      <c r="S603" s="8"/>
      <c r="T603" s="8"/>
      <c r="U603" s="8"/>
      <c r="V603" s="713"/>
      <c r="W603" s="713"/>
      <c r="X603" s="713"/>
      <c r="Y603" s="713"/>
      <c r="Z603" s="713"/>
      <c r="AA603" s="713"/>
      <c r="AB603" s="713"/>
      <c r="AC603" s="713"/>
      <c r="AD603" s="713"/>
      <c r="AE603" s="713"/>
      <c r="AF603" s="713"/>
      <c r="AG603" s="713"/>
      <c r="AH603" s="713"/>
      <c r="AI603" s="713"/>
      <c r="AJ603" s="713"/>
      <c r="AK603" s="713"/>
      <c r="AL603" s="713"/>
      <c r="AM603" s="713"/>
      <c r="AN603" s="713"/>
      <c r="AO603" s="713"/>
      <c r="AP603" s="714"/>
      <c r="AQ603" s="715"/>
      <c r="AR603" s="707"/>
      <c r="AS603" s="707"/>
    </row>
    <row r="604" spans="1:45" s="711" customFormat="1" ht="12.75" customHeight="1" x14ac:dyDescent="0.25">
      <c r="A604" s="710"/>
      <c r="B604" s="11"/>
      <c r="C604" s="11"/>
      <c r="D604" s="11" t="s">
        <v>632</v>
      </c>
      <c r="E604" s="11"/>
      <c r="F604" s="11"/>
      <c r="G604" s="11"/>
      <c r="H604" s="11"/>
      <c r="I604" s="11"/>
      <c r="J604" s="1410" t="s">
        <v>617</v>
      </c>
      <c r="K604" s="1410"/>
      <c r="L604" s="1410"/>
      <c r="M604" s="1410"/>
      <c r="N604" s="1971">
        <v>0</v>
      </c>
      <c r="O604" s="1972"/>
      <c r="P604" s="1973">
        <v>0</v>
      </c>
      <c r="Q604" s="1974"/>
      <c r="R604" s="11"/>
      <c r="S604" s="11"/>
      <c r="T604" s="11"/>
      <c r="U604" s="11"/>
      <c r="V604" s="714"/>
      <c r="W604" s="714"/>
      <c r="X604" s="714"/>
      <c r="Y604" s="714"/>
      <c r="Z604" s="714"/>
      <c r="AA604" s="714"/>
      <c r="AB604" s="714"/>
      <c r="AC604" s="714"/>
      <c r="AD604" s="714"/>
      <c r="AE604" s="714"/>
      <c r="AF604" s="714"/>
      <c r="AG604" s="714"/>
      <c r="AH604" s="714"/>
      <c r="AI604" s="714"/>
      <c r="AJ604" s="714"/>
      <c r="AK604" s="714"/>
      <c r="AL604" s="714"/>
      <c r="AM604" s="714"/>
      <c r="AN604" s="714"/>
      <c r="AO604" s="714"/>
      <c r="AP604" s="714"/>
      <c r="AQ604" s="1412"/>
    </row>
    <row r="605" spans="1:45" s="711" customFormat="1" ht="12.75" customHeight="1" x14ac:dyDescent="0.25">
      <c r="A605" s="710"/>
      <c r="B605" s="8"/>
      <c r="C605" s="8"/>
      <c r="D605" s="8" t="s">
        <v>628</v>
      </c>
      <c r="E605" s="8"/>
      <c r="F605" s="8"/>
      <c r="G605" s="8"/>
      <c r="H605" s="8"/>
      <c r="I605" s="8"/>
      <c r="J605" s="1409" t="s">
        <v>16</v>
      </c>
      <c r="K605" s="1409"/>
      <c r="L605" s="1409"/>
      <c r="M605" s="1409"/>
      <c r="N605" s="1421"/>
      <c r="O605" s="1422"/>
      <c r="P605" s="2024">
        <v>0</v>
      </c>
      <c r="Q605" s="2025"/>
      <c r="R605" s="8"/>
      <c r="S605" s="8"/>
      <c r="T605" s="8"/>
      <c r="U605" s="8"/>
      <c r="V605" s="713"/>
      <c r="W605" s="713"/>
      <c r="X605" s="713"/>
      <c r="Y605" s="713"/>
      <c r="Z605" s="713"/>
      <c r="AA605" s="713"/>
      <c r="AB605" s="713"/>
      <c r="AC605" s="713"/>
      <c r="AD605" s="713"/>
      <c r="AE605" s="713"/>
      <c r="AF605" s="713"/>
      <c r="AG605" s="713"/>
      <c r="AH605" s="713"/>
      <c r="AI605" s="713"/>
      <c r="AJ605" s="713"/>
      <c r="AK605" s="713"/>
      <c r="AL605" s="713"/>
      <c r="AM605" s="713"/>
      <c r="AN605" s="713"/>
      <c r="AO605" s="713"/>
      <c r="AP605" s="714"/>
      <c r="AQ605" s="715"/>
      <c r="AR605" s="707"/>
      <c r="AS605" s="707"/>
    </row>
    <row r="606" spans="1:45" s="707" customFormat="1" ht="12.75" customHeight="1" x14ac:dyDescent="0.25">
      <c r="A606" s="8"/>
      <c r="B606" s="8"/>
      <c r="C606" s="8"/>
      <c r="D606" s="1634" t="s">
        <v>536</v>
      </c>
      <c r="E606" s="1634"/>
      <c r="F606" s="1634"/>
      <c r="G606" s="1634"/>
      <c r="H606" s="1634"/>
      <c r="I606" s="1634"/>
      <c r="J606" s="1127" t="s">
        <v>366</v>
      </c>
      <c r="K606" s="1127"/>
      <c r="L606" s="1127"/>
      <c r="M606" s="1127"/>
      <c r="N606" s="2020">
        <v>0</v>
      </c>
      <c r="O606" s="2021"/>
      <c r="P606" s="2022">
        <v>0</v>
      </c>
      <c r="Q606" s="2023"/>
      <c r="R606" s="8"/>
      <c r="S606" s="8"/>
      <c r="T606" s="8"/>
      <c r="U606" s="8"/>
      <c r="V606" s="713"/>
      <c r="W606" s="713"/>
      <c r="X606" s="713"/>
      <c r="Y606" s="713"/>
      <c r="Z606" s="713"/>
      <c r="AA606" s="713"/>
      <c r="AB606" s="713"/>
      <c r="AC606" s="713"/>
      <c r="AD606" s="713"/>
      <c r="AE606" s="713"/>
      <c r="AF606" s="713"/>
      <c r="AG606" s="713"/>
      <c r="AH606" s="713"/>
      <c r="AI606" s="713"/>
      <c r="AJ606" s="713"/>
      <c r="AK606" s="713"/>
      <c r="AL606" s="713"/>
      <c r="AM606" s="713"/>
      <c r="AN606" s="713"/>
      <c r="AO606" s="713"/>
      <c r="AP606" s="713"/>
      <c r="AQ606" s="715"/>
    </row>
    <row r="607" spans="1:45" s="711" customFormat="1" ht="12.75" customHeight="1" x14ac:dyDescent="0.25">
      <c r="A607" s="710"/>
      <c r="B607" s="707"/>
      <c r="C607" s="707"/>
      <c r="F607" s="712"/>
      <c r="G607" s="712"/>
      <c r="H607" s="712"/>
      <c r="I607" s="712"/>
      <c r="J607" s="713"/>
      <c r="K607" s="713"/>
      <c r="L607" s="713"/>
      <c r="M607" s="713"/>
      <c r="N607" s="713"/>
      <c r="O607" s="713"/>
      <c r="P607" s="713"/>
      <c r="Q607" s="713"/>
      <c r="R607" s="713"/>
      <c r="S607" s="713"/>
      <c r="T607" s="713"/>
      <c r="U607" s="713"/>
      <c r="V607" s="713"/>
      <c r="W607" s="713"/>
      <c r="X607" s="713"/>
      <c r="Y607" s="713"/>
      <c r="Z607" s="713"/>
      <c r="AA607" s="713"/>
      <c r="AB607" s="713"/>
      <c r="AC607" s="713"/>
      <c r="AD607" s="713"/>
      <c r="AE607" s="713"/>
      <c r="AF607" s="713"/>
      <c r="AG607" s="713"/>
      <c r="AH607" s="713"/>
      <c r="AI607" s="713"/>
      <c r="AJ607" s="713"/>
      <c r="AK607" s="713"/>
      <c r="AL607" s="713"/>
      <c r="AM607" s="713"/>
      <c r="AN607" s="713"/>
      <c r="AO607" s="713"/>
      <c r="AP607" s="714"/>
      <c r="AQ607" s="715"/>
      <c r="AR607" s="707"/>
      <c r="AS607" s="707"/>
    </row>
    <row r="608" spans="1:45" s="711" customFormat="1" ht="12.75" customHeight="1" x14ac:dyDescent="0.25">
      <c r="A608" s="710"/>
      <c r="B608" s="707"/>
      <c r="C608" s="707"/>
      <c r="F608" s="712"/>
      <c r="G608" s="712"/>
      <c r="H608" s="712"/>
      <c r="I608" s="712"/>
      <c r="J608" s="713"/>
      <c r="K608" s="713"/>
      <c r="L608" s="713"/>
      <c r="M608" s="713"/>
      <c r="N608" s="713"/>
      <c r="O608" s="713"/>
      <c r="P608" s="713"/>
      <c r="Q608" s="713"/>
      <c r="R608" s="713"/>
      <c r="S608" s="713"/>
      <c r="T608" s="713"/>
      <c r="U608" s="713"/>
      <c r="V608" s="713"/>
      <c r="W608" s="713"/>
      <c r="X608" s="713"/>
      <c r="Y608" s="713"/>
      <c r="Z608" s="713"/>
      <c r="AA608" s="713"/>
      <c r="AB608" s="713"/>
      <c r="AC608" s="713"/>
      <c r="AD608" s="713"/>
      <c r="AE608" s="713"/>
      <c r="AF608" s="713"/>
      <c r="AG608" s="713"/>
      <c r="AH608" s="713"/>
      <c r="AI608" s="713"/>
      <c r="AJ608" s="713"/>
      <c r="AK608" s="713"/>
      <c r="AL608" s="713"/>
      <c r="AM608" s="713"/>
      <c r="AN608" s="713"/>
      <c r="AO608" s="713"/>
      <c r="AP608" s="714"/>
      <c r="AQ608" s="715"/>
      <c r="AR608" s="707"/>
      <c r="AS608" s="707"/>
    </row>
    <row r="609" spans="1:45" s="711" customFormat="1" ht="12.75" customHeight="1" x14ac:dyDescent="0.25">
      <c r="A609" s="710"/>
      <c r="B609" s="52" t="s">
        <v>552</v>
      </c>
      <c r="C609" s="21"/>
      <c r="D609" s="21"/>
      <c r="E609" s="21"/>
      <c r="F609" s="21"/>
      <c r="G609" s="21"/>
      <c r="H609" s="21"/>
      <c r="I609" s="21"/>
      <c r="J609" s="22"/>
      <c r="K609" s="22"/>
      <c r="L609" s="22"/>
      <c r="M609" s="22"/>
      <c r="N609" s="22"/>
      <c r="O609" s="21"/>
      <c r="P609" s="21"/>
      <c r="Q609" s="21"/>
      <c r="R609" s="21"/>
      <c r="S609" s="21"/>
      <c r="T609" s="21"/>
      <c r="U609" s="21"/>
      <c r="V609" s="713"/>
      <c r="W609" s="713"/>
      <c r="X609" s="713"/>
      <c r="Y609" s="713"/>
      <c r="Z609" s="713"/>
      <c r="AA609" s="713"/>
      <c r="AB609" s="713"/>
      <c r="AC609" s="713"/>
      <c r="AD609" s="713"/>
      <c r="AE609" s="713"/>
      <c r="AF609" s="713"/>
      <c r="AG609" s="713"/>
      <c r="AH609" s="713"/>
      <c r="AI609" s="713"/>
      <c r="AJ609" s="713"/>
      <c r="AK609" s="713"/>
      <c r="AL609" s="713"/>
      <c r="AM609" s="713"/>
      <c r="AN609" s="713"/>
      <c r="AO609" s="713"/>
      <c r="AP609" s="714"/>
      <c r="AQ609" s="715"/>
      <c r="AR609" s="707"/>
      <c r="AS609" s="707"/>
    </row>
    <row r="610" spans="1:45" s="711" customFormat="1" ht="12.75" customHeight="1" x14ac:dyDescent="0.25">
      <c r="A610" s="710"/>
      <c r="B610" s="8"/>
      <c r="C610" s="8"/>
      <c r="D610" s="8"/>
      <c r="E610" s="8"/>
      <c r="F610" s="8"/>
      <c r="G610" s="8"/>
      <c r="H610" s="8"/>
      <c r="I610" s="11"/>
      <c r="J610" s="1128"/>
      <c r="K610" s="1128"/>
      <c r="L610" s="1128"/>
      <c r="M610" s="1128"/>
      <c r="N610" s="1128"/>
      <c r="O610" s="1128"/>
      <c r="P610" s="40"/>
      <c r="Q610" s="8"/>
      <c r="R610" s="8"/>
      <c r="S610" s="8"/>
      <c r="T610" s="8"/>
      <c r="U610" s="8"/>
      <c r="V610" s="713"/>
      <c r="W610" s="713"/>
      <c r="X610" s="713"/>
      <c r="Y610" s="713"/>
      <c r="Z610" s="713"/>
      <c r="AA610" s="713"/>
      <c r="AB610" s="713"/>
      <c r="AC610" s="713"/>
      <c r="AD610" s="713"/>
      <c r="AE610" s="713"/>
      <c r="AF610" s="713"/>
      <c r="AG610" s="713"/>
      <c r="AH610" s="713"/>
      <c r="AI610" s="713"/>
      <c r="AJ610" s="713"/>
      <c r="AK610" s="713"/>
      <c r="AL610" s="713"/>
      <c r="AM610" s="713"/>
      <c r="AN610" s="713"/>
      <c r="AO610" s="713"/>
      <c r="AP610" s="714"/>
      <c r="AQ610" s="715"/>
      <c r="AR610" s="707"/>
      <c r="AS610" s="707"/>
    </row>
    <row r="611" spans="1:45" s="711" customFormat="1" ht="12.75" customHeight="1" x14ac:dyDescent="0.25">
      <c r="A611" s="710"/>
      <c r="B611" s="8"/>
      <c r="C611" s="8"/>
      <c r="D611" s="8"/>
      <c r="E611" s="8"/>
      <c r="F611" s="8"/>
      <c r="G611" s="8"/>
      <c r="H611" s="8"/>
      <c r="I611" s="11"/>
      <c r="J611" s="1128"/>
      <c r="K611" s="1128"/>
      <c r="L611" s="1128"/>
      <c r="M611" s="1128"/>
      <c r="N611" s="1128"/>
      <c r="O611" s="1128"/>
      <c r="P611" s="40"/>
      <c r="Q611" s="8"/>
      <c r="R611" s="8"/>
      <c r="S611" s="8"/>
      <c r="T611" s="8"/>
      <c r="U611" s="8"/>
      <c r="V611" s="713"/>
      <c r="W611" s="713"/>
      <c r="X611" s="713"/>
      <c r="Y611" s="713"/>
      <c r="Z611" s="713"/>
      <c r="AA611" s="713"/>
      <c r="AB611" s="713"/>
      <c r="AC611" s="713"/>
      <c r="AD611" s="713"/>
      <c r="AE611" s="713"/>
      <c r="AF611" s="713"/>
      <c r="AG611" s="713"/>
      <c r="AH611" s="713"/>
      <c r="AI611" s="713"/>
      <c r="AJ611" s="713"/>
      <c r="AK611" s="713"/>
      <c r="AL611" s="713"/>
      <c r="AM611" s="713"/>
      <c r="AN611" s="713"/>
      <c r="AO611" s="713"/>
      <c r="AP611" s="714"/>
      <c r="AQ611" s="715"/>
      <c r="AR611" s="707"/>
      <c r="AS611" s="707"/>
    </row>
    <row r="612" spans="1:45" s="707" customFormat="1" ht="12.75" customHeight="1" x14ac:dyDescent="0.25">
      <c r="A612" s="8"/>
      <c r="B612" s="8"/>
      <c r="C612" s="8"/>
      <c r="D612" s="8"/>
      <c r="E612" s="8"/>
      <c r="F612" s="8"/>
      <c r="G612" s="8"/>
      <c r="H612" s="8"/>
      <c r="I612" s="11"/>
      <c r="J612" s="1128"/>
      <c r="K612" s="1128"/>
      <c r="L612" s="1743" t="s">
        <v>200</v>
      </c>
      <c r="M612" s="1744"/>
      <c r="N612" s="1744"/>
      <c r="O612" s="1745"/>
      <c r="P612" s="1788" t="s">
        <v>201</v>
      </c>
      <c r="Q612" s="1789"/>
      <c r="R612" s="1789"/>
      <c r="S612" s="1790"/>
      <c r="T612" s="8"/>
      <c r="U612" s="8"/>
      <c r="V612" s="713"/>
      <c r="W612" s="713"/>
      <c r="X612" s="713"/>
      <c r="Y612" s="713"/>
      <c r="Z612" s="713"/>
      <c r="AA612" s="713"/>
      <c r="AB612" s="713"/>
      <c r="AC612" s="713"/>
      <c r="AD612" s="713"/>
      <c r="AE612" s="713"/>
      <c r="AF612" s="713"/>
      <c r="AG612" s="713"/>
      <c r="AH612" s="713"/>
      <c r="AI612" s="713"/>
      <c r="AJ612" s="713"/>
      <c r="AK612" s="713"/>
      <c r="AL612" s="713"/>
      <c r="AM612" s="713"/>
      <c r="AN612" s="713"/>
      <c r="AO612" s="713"/>
      <c r="AP612" s="713"/>
      <c r="AQ612" s="715"/>
    </row>
    <row r="613" spans="1:45" s="707" customFormat="1" ht="12.75" customHeight="1" x14ac:dyDescent="0.25">
      <c r="A613" s="8"/>
      <c r="B613" s="8"/>
      <c r="C613" s="8"/>
      <c r="D613" s="8"/>
      <c r="E613" s="8"/>
      <c r="F613" s="8"/>
      <c r="G613" s="8"/>
      <c r="H613" s="8"/>
      <c r="I613" s="11"/>
      <c r="J613" s="1128"/>
      <c r="K613" s="1128"/>
      <c r="L613" s="1785" t="s">
        <v>229</v>
      </c>
      <c r="M613" s="1786"/>
      <c r="N613" s="1786"/>
      <c r="O613" s="1787"/>
      <c r="P613" s="1667" t="s">
        <v>229</v>
      </c>
      <c r="Q613" s="1668"/>
      <c r="R613" s="1668"/>
      <c r="S613" s="1669"/>
      <c r="T613" s="8"/>
      <c r="U613" s="8"/>
      <c r="V613" s="713"/>
      <c r="W613" s="713"/>
      <c r="X613" s="713"/>
      <c r="Y613" s="713"/>
      <c r="Z613" s="713"/>
      <c r="AA613" s="713"/>
      <c r="AB613" s="713"/>
      <c r="AC613" s="713"/>
      <c r="AD613" s="713"/>
      <c r="AE613" s="713"/>
      <c r="AF613" s="713"/>
      <c r="AG613" s="713"/>
      <c r="AH613" s="713"/>
      <c r="AI613" s="713"/>
      <c r="AJ613" s="713"/>
      <c r="AK613" s="713"/>
      <c r="AL613" s="713"/>
      <c r="AM613" s="713"/>
      <c r="AN613" s="713"/>
      <c r="AO613" s="713"/>
      <c r="AP613" s="713"/>
      <c r="AQ613" s="715"/>
    </row>
    <row r="614" spans="1:45" s="707" customFormat="1" ht="38.700000000000003" customHeight="1" x14ac:dyDescent="0.25">
      <c r="A614" s="8"/>
      <c r="B614" s="8"/>
      <c r="C614" s="1130" t="s">
        <v>78</v>
      </c>
      <c r="D614" s="840"/>
      <c r="E614" s="840"/>
      <c r="F614" s="840"/>
      <c r="G614" s="840"/>
      <c r="H614" s="840"/>
      <c r="I614" s="840"/>
      <c r="J614" s="840"/>
      <c r="K614" s="840"/>
      <c r="L614" s="1131" t="s">
        <v>227</v>
      </c>
      <c r="M614" s="1131" t="s">
        <v>218</v>
      </c>
      <c r="N614" s="1132" t="s">
        <v>226</v>
      </c>
      <c r="O614" s="1133" t="s">
        <v>225</v>
      </c>
      <c r="P614" s="1134" t="s">
        <v>227</v>
      </c>
      <c r="Q614" s="1134" t="s">
        <v>218</v>
      </c>
      <c r="R614" s="1135" t="s">
        <v>226</v>
      </c>
      <c r="S614" s="1136" t="s">
        <v>225</v>
      </c>
      <c r="T614" s="8"/>
      <c r="U614" s="8"/>
      <c r="V614" s="713"/>
      <c r="W614" s="713"/>
      <c r="X614" s="713"/>
      <c r="Y614" s="713"/>
      <c r="Z614" s="713"/>
      <c r="AA614" s="713"/>
      <c r="AB614" s="713"/>
      <c r="AC614" s="713"/>
      <c r="AD614" s="713"/>
      <c r="AE614" s="713"/>
      <c r="AF614" s="713"/>
      <c r="AG614" s="713"/>
      <c r="AH614" s="713"/>
      <c r="AI614" s="713"/>
      <c r="AJ614" s="713"/>
      <c r="AK614" s="713"/>
      <c r="AL614" s="713"/>
      <c r="AM614" s="713"/>
      <c r="AN614" s="713"/>
      <c r="AO614" s="713"/>
      <c r="AP614" s="713"/>
      <c r="AQ614" s="715"/>
    </row>
    <row r="615" spans="1:45" s="707" customFormat="1" ht="12.75" customHeight="1" x14ac:dyDescent="0.25">
      <c r="A615" s="8"/>
      <c r="B615" s="8"/>
      <c r="C615" s="848" t="s">
        <v>151</v>
      </c>
      <c r="D615" s="57"/>
      <c r="E615" s="182"/>
      <c r="F615" s="57"/>
      <c r="G615" s="57"/>
      <c r="H615" s="57"/>
      <c r="I615" s="57"/>
      <c r="J615" s="57"/>
      <c r="K615" s="57"/>
      <c r="L615" s="1447">
        <v>0</v>
      </c>
      <c r="M615" s="1448">
        <v>0</v>
      </c>
      <c r="N615" s="1449">
        <v>0</v>
      </c>
      <c r="O615" s="1450">
        <v>0</v>
      </c>
      <c r="P615" s="1451">
        <v>0</v>
      </c>
      <c r="Q615" s="1451">
        <v>0</v>
      </c>
      <c r="R615" s="1452">
        <v>0</v>
      </c>
      <c r="S615" s="1453">
        <v>0</v>
      </c>
      <c r="T615" s="8"/>
      <c r="U615" s="8"/>
      <c r="V615" s="713"/>
      <c r="W615" s="713"/>
      <c r="X615" s="713"/>
      <c r="Y615" s="713"/>
      <c r="Z615" s="713"/>
      <c r="AA615" s="713"/>
      <c r="AB615" s="713"/>
      <c r="AC615" s="713"/>
      <c r="AD615" s="713"/>
      <c r="AE615" s="713"/>
      <c r="AF615" s="713"/>
      <c r="AG615" s="713"/>
      <c r="AH615" s="713"/>
      <c r="AI615" s="713"/>
      <c r="AJ615" s="713"/>
      <c r="AK615" s="713"/>
      <c r="AL615" s="713"/>
      <c r="AM615" s="713"/>
      <c r="AN615" s="713"/>
      <c r="AO615" s="713"/>
      <c r="AP615" s="713"/>
      <c r="AQ615" s="715"/>
    </row>
    <row r="616" spans="1:45" s="707" customFormat="1" ht="12.75" customHeight="1" x14ac:dyDescent="0.25">
      <c r="A616" s="8"/>
      <c r="B616" s="8"/>
      <c r="C616" s="856" t="s">
        <v>238</v>
      </c>
      <c r="D616" s="857"/>
      <c r="E616" s="857"/>
      <c r="F616" s="857"/>
      <c r="G616" s="857"/>
      <c r="H616" s="857"/>
      <c r="I616" s="857"/>
      <c r="J616" s="857"/>
      <c r="K616" s="857"/>
      <c r="L616" s="1454">
        <v>0</v>
      </c>
      <c r="M616" s="1454">
        <v>0</v>
      </c>
      <c r="N616" s="1455">
        <v>0</v>
      </c>
      <c r="O616" s="1456">
        <v>0</v>
      </c>
      <c r="P616" s="1457">
        <v>0</v>
      </c>
      <c r="Q616" s="1457">
        <v>0</v>
      </c>
      <c r="R616" s="1458">
        <v>0</v>
      </c>
      <c r="S616" s="1459">
        <v>0</v>
      </c>
      <c r="T616" s="8"/>
      <c r="U616" s="8"/>
      <c r="V616" s="713"/>
      <c r="W616" s="713"/>
      <c r="X616" s="713"/>
      <c r="Y616" s="713"/>
      <c r="Z616" s="713"/>
      <c r="AA616" s="713"/>
      <c r="AB616" s="713"/>
      <c r="AC616" s="713"/>
      <c r="AD616" s="713"/>
      <c r="AE616" s="713"/>
      <c r="AF616" s="713"/>
      <c r="AG616" s="713"/>
      <c r="AH616" s="713"/>
      <c r="AI616" s="713"/>
      <c r="AJ616" s="713"/>
      <c r="AK616" s="713"/>
      <c r="AL616" s="713"/>
      <c r="AM616" s="713"/>
      <c r="AN616" s="713"/>
      <c r="AO616" s="713"/>
      <c r="AP616" s="713"/>
      <c r="AQ616" s="715"/>
    </row>
    <row r="617" spans="1:45" s="707" customFormat="1" ht="12.75" customHeight="1" x14ac:dyDescent="0.25">
      <c r="A617" s="8"/>
      <c r="B617" s="8"/>
      <c r="C617" s="56" t="s">
        <v>80</v>
      </c>
      <c r="D617" s="56"/>
      <c r="E617" s="56"/>
      <c r="F617" s="57"/>
      <c r="G617" s="57"/>
      <c r="H617" s="57"/>
      <c r="I617" s="57"/>
      <c r="J617" s="57"/>
      <c r="K617" s="57"/>
      <c r="L617" s="1460">
        <v>0</v>
      </c>
      <c r="M617" s="1460">
        <v>0</v>
      </c>
      <c r="N617" s="1461">
        <v>0</v>
      </c>
      <c r="O617" s="1461">
        <v>0</v>
      </c>
      <c r="P617" s="1462">
        <v>0</v>
      </c>
      <c r="Q617" s="1462">
        <v>0</v>
      </c>
      <c r="R617" s="1463">
        <v>0</v>
      </c>
      <c r="S617" s="1464">
        <v>0</v>
      </c>
      <c r="T617" s="8"/>
      <c r="U617" s="8"/>
      <c r="V617" s="713"/>
      <c r="W617" s="713"/>
      <c r="X617" s="713"/>
      <c r="Y617" s="713"/>
      <c r="Z617" s="713"/>
      <c r="AA617" s="713"/>
      <c r="AB617" s="713"/>
      <c r="AC617" s="713"/>
      <c r="AD617" s="713"/>
      <c r="AE617" s="713"/>
      <c r="AF617" s="713"/>
      <c r="AG617" s="713"/>
      <c r="AH617" s="713"/>
      <c r="AI617" s="713"/>
      <c r="AJ617" s="713"/>
      <c r="AK617" s="713"/>
      <c r="AL617" s="713"/>
      <c r="AM617" s="713"/>
      <c r="AN617" s="713"/>
      <c r="AO617" s="713"/>
      <c r="AP617" s="713"/>
      <c r="AQ617" s="715"/>
    </row>
    <row r="618" spans="1:45" s="707" customFormat="1" ht="12.75" customHeight="1" x14ac:dyDescent="0.25">
      <c r="A618" s="8"/>
      <c r="B618" s="8"/>
      <c r="C618" s="8"/>
      <c r="D618" s="8"/>
      <c r="E618" s="8"/>
      <c r="F618" s="8"/>
      <c r="G618" s="8"/>
      <c r="H618" s="8"/>
      <c r="I618" s="11"/>
      <c r="J618" s="1128"/>
      <c r="K618" s="1128"/>
      <c r="L618" s="1241"/>
      <c r="M618" s="1241"/>
      <c r="N618" s="1241"/>
      <c r="O618" s="1241"/>
      <c r="P618" s="40"/>
      <c r="Q618" s="8"/>
      <c r="R618" s="8"/>
      <c r="S618" s="8"/>
      <c r="T618" s="8"/>
      <c r="U618" s="8"/>
      <c r="V618" s="713"/>
      <c r="W618" s="713"/>
      <c r="X618" s="713"/>
      <c r="Y618" s="713"/>
      <c r="Z618" s="713"/>
      <c r="AA618" s="713"/>
      <c r="AB618" s="713"/>
      <c r="AC618" s="713"/>
      <c r="AD618" s="713"/>
      <c r="AE618" s="713"/>
      <c r="AF618" s="713"/>
      <c r="AG618" s="713"/>
      <c r="AH618" s="713"/>
      <c r="AI618" s="713"/>
      <c r="AJ618" s="713"/>
      <c r="AK618" s="713"/>
      <c r="AL618" s="713"/>
      <c r="AM618" s="713"/>
      <c r="AN618" s="713"/>
      <c r="AO618" s="713"/>
      <c r="AP618" s="713"/>
      <c r="AQ618" s="715"/>
    </row>
    <row r="619" spans="1:45" s="707" customFormat="1" ht="12.75" customHeight="1" x14ac:dyDescent="0.25">
      <c r="A619" s="8"/>
      <c r="B619" s="8"/>
      <c r="C619" s="8"/>
      <c r="D619" s="8"/>
      <c r="E619" s="8"/>
      <c r="F619" s="8"/>
      <c r="G619" s="8"/>
      <c r="H619" s="8"/>
      <c r="I619" s="11"/>
      <c r="J619" s="1128"/>
      <c r="K619" s="1128"/>
      <c r="L619" s="1241"/>
      <c r="M619" s="1241"/>
      <c r="N619" s="1241"/>
      <c r="O619" s="1241"/>
      <c r="P619" s="40"/>
      <c r="Q619" s="8"/>
      <c r="R619" s="8"/>
      <c r="S619" s="8"/>
      <c r="T619" s="8"/>
      <c r="U619" s="8"/>
      <c r="V619" s="713"/>
      <c r="W619" s="713"/>
      <c r="X619" s="713"/>
      <c r="Y619" s="713"/>
      <c r="Z619" s="713"/>
      <c r="AA619" s="713"/>
      <c r="AB619" s="713"/>
      <c r="AC619" s="713"/>
      <c r="AD619" s="713"/>
      <c r="AE619" s="713"/>
      <c r="AF619" s="713"/>
      <c r="AG619" s="713"/>
      <c r="AH619" s="713"/>
      <c r="AI619" s="713"/>
      <c r="AJ619" s="713"/>
      <c r="AK619" s="713"/>
      <c r="AL619" s="713"/>
      <c r="AM619" s="713"/>
      <c r="AN619" s="713"/>
      <c r="AO619" s="713"/>
      <c r="AP619" s="713"/>
      <c r="AQ619" s="715"/>
    </row>
    <row r="620" spans="1:45" s="707" customFormat="1" ht="12.75" customHeight="1" x14ac:dyDescent="0.25">
      <c r="A620" s="8"/>
      <c r="B620" s="8"/>
      <c r="C620" s="8"/>
      <c r="D620" s="8"/>
      <c r="E620" s="8"/>
      <c r="F620" s="8"/>
      <c r="G620" s="8"/>
      <c r="H620" s="8"/>
      <c r="I620" s="11"/>
      <c r="J620" s="1128"/>
      <c r="K620" s="1128"/>
      <c r="L620" s="1743" t="s">
        <v>200</v>
      </c>
      <c r="M620" s="1744"/>
      <c r="N620" s="1744"/>
      <c r="O620" s="1745"/>
      <c r="P620" s="1788" t="s">
        <v>201</v>
      </c>
      <c r="Q620" s="1789"/>
      <c r="R620" s="1789"/>
      <c r="S620" s="1790"/>
      <c r="T620" s="8"/>
      <c r="U620" s="8"/>
      <c r="V620" s="713"/>
      <c r="W620" s="713"/>
      <c r="X620" s="713"/>
      <c r="Y620" s="713"/>
      <c r="Z620" s="713"/>
      <c r="AA620" s="713"/>
      <c r="AB620" s="713"/>
      <c r="AC620" s="713"/>
      <c r="AD620" s="713"/>
      <c r="AE620" s="713"/>
      <c r="AF620" s="713"/>
      <c r="AG620" s="713"/>
      <c r="AH620" s="713"/>
      <c r="AI620" s="713"/>
      <c r="AJ620" s="713"/>
      <c r="AK620" s="713"/>
      <c r="AL620" s="713"/>
      <c r="AM620" s="713"/>
      <c r="AN620" s="713"/>
      <c r="AO620" s="713"/>
      <c r="AP620" s="713"/>
      <c r="AQ620" s="715"/>
    </row>
    <row r="621" spans="1:45" s="707" customFormat="1" ht="12.75" customHeight="1" x14ac:dyDescent="0.25">
      <c r="A621" s="8"/>
      <c r="B621" s="8"/>
      <c r="C621" s="8"/>
      <c r="D621" s="8"/>
      <c r="E621" s="8"/>
      <c r="F621" s="8"/>
      <c r="G621" s="8"/>
      <c r="H621" s="8"/>
      <c r="I621" s="11"/>
      <c r="J621" s="1128"/>
      <c r="K621" s="1128"/>
      <c r="L621" s="1785" t="s">
        <v>229</v>
      </c>
      <c r="M621" s="1786"/>
      <c r="N621" s="1786"/>
      <c r="O621" s="1787"/>
      <c r="P621" s="1667" t="s">
        <v>229</v>
      </c>
      <c r="Q621" s="1668"/>
      <c r="R621" s="1668"/>
      <c r="S621" s="1669"/>
      <c r="T621" s="8"/>
      <c r="U621" s="8"/>
      <c r="V621" s="713"/>
      <c r="W621" s="713"/>
      <c r="X621" s="713"/>
      <c r="Y621" s="713"/>
      <c r="Z621" s="713"/>
      <c r="AA621" s="713"/>
      <c r="AB621" s="713"/>
      <c r="AC621" s="713"/>
      <c r="AD621" s="713"/>
      <c r="AE621" s="713"/>
      <c r="AF621" s="713"/>
      <c r="AG621" s="713"/>
      <c r="AH621" s="713"/>
      <c r="AI621" s="713"/>
      <c r="AJ621" s="713"/>
      <c r="AK621" s="713"/>
      <c r="AL621" s="713"/>
      <c r="AM621" s="713"/>
      <c r="AN621" s="713"/>
      <c r="AO621" s="713"/>
      <c r="AP621" s="713"/>
      <c r="AQ621" s="715"/>
    </row>
    <row r="622" spans="1:45" s="707" customFormat="1" ht="39.450000000000003" customHeight="1" x14ac:dyDescent="0.25">
      <c r="A622" s="8"/>
      <c r="B622" s="8"/>
      <c r="C622" s="867" t="s">
        <v>230</v>
      </c>
      <c r="D622" s="868"/>
      <c r="E622" s="55"/>
      <c r="F622" s="868"/>
      <c r="G622" s="868"/>
      <c r="H622" s="868"/>
      <c r="I622" s="868"/>
      <c r="J622" s="868"/>
      <c r="K622" s="868"/>
      <c r="L622" s="1243" t="s">
        <v>227</v>
      </c>
      <c r="M622" s="1243" t="s">
        <v>218</v>
      </c>
      <c r="N622" s="1244" t="s">
        <v>226</v>
      </c>
      <c r="O622" s="1245" t="s">
        <v>225</v>
      </c>
      <c r="P622" s="1246" t="s">
        <v>227</v>
      </c>
      <c r="Q622" s="1246" t="s">
        <v>218</v>
      </c>
      <c r="R622" s="1247" t="s">
        <v>226</v>
      </c>
      <c r="S622" s="1248" t="s">
        <v>225</v>
      </c>
      <c r="T622" s="8"/>
      <c r="U622" s="8"/>
      <c r="V622" s="713"/>
      <c r="W622" s="713"/>
      <c r="X622" s="713"/>
      <c r="Y622" s="713"/>
      <c r="Z622" s="713"/>
      <c r="AA622" s="713"/>
      <c r="AB622" s="713"/>
      <c r="AC622" s="713"/>
      <c r="AD622" s="713"/>
      <c r="AE622" s="713"/>
      <c r="AF622" s="713"/>
      <c r="AG622" s="713"/>
      <c r="AH622" s="713"/>
      <c r="AI622" s="713"/>
      <c r="AJ622" s="713"/>
      <c r="AK622" s="713"/>
      <c r="AL622" s="713"/>
      <c r="AM622" s="713"/>
      <c r="AN622" s="713"/>
      <c r="AO622" s="713"/>
      <c r="AP622" s="713"/>
      <c r="AQ622" s="715"/>
    </row>
    <row r="623" spans="1:45" s="707" customFormat="1" ht="12.75" customHeight="1" x14ac:dyDescent="0.25">
      <c r="A623" s="8"/>
      <c r="B623" s="8"/>
      <c r="C623" s="836" t="str">
        <f>$C$32</f>
        <v>Power Market Risk</v>
      </c>
      <c r="D623" s="57"/>
      <c r="E623" s="57"/>
      <c r="F623" s="57"/>
      <c r="G623" s="8"/>
      <c r="H623" s="8"/>
      <c r="I623" s="11"/>
      <c r="J623" s="1128"/>
      <c r="K623" s="1128"/>
      <c r="L623" s="1423">
        <v>0</v>
      </c>
      <c r="M623" s="1423">
        <v>0</v>
      </c>
      <c r="N623" s="1424">
        <v>0</v>
      </c>
      <c r="O623" s="1425">
        <v>0</v>
      </c>
      <c r="P623" s="1426">
        <v>0</v>
      </c>
      <c r="Q623" s="1427">
        <v>0</v>
      </c>
      <c r="R623" s="1428">
        <v>0</v>
      </c>
      <c r="S623" s="1429">
        <v>0</v>
      </c>
      <c r="T623" s="8"/>
      <c r="U623" s="8"/>
      <c r="V623" s="713"/>
      <c r="W623" s="713"/>
      <c r="X623" s="713"/>
      <c r="Y623" s="713"/>
      <c r="Z623" s="713"/>
      <c r="AA623" s="713"/>
      <c r="AB623" s="713"/>
      <c r="AC623" s="713"/>
      <c r="AD623" s="713"/>
      <c r="AE623" s="713"/>
      <c r="AF623" s="713"/>
      <c r="AG623" s="713"/>
      <c r="AH623" s="713"/>
      <c r="AI623" s="713"/>
      <c r="AJ623" s="713"/>
      <c r="AK623" s="713"/>
      <c r="AL623" s="713"/>
      <c r="AM623" s="713"/>
      <c r="AN623" s="713"/>
      <c r="AO623" s="713"/>
      <c r="AP623" s="713"/>
      <c r="AQ623" s="715"/>
    </row>
    <row r="624" spans="1:45" s="707" customFormat="1" ht="12.75" customHeight="1" x14ac:dyDescent="0.25">
      <c r="A624" s="8"/>
      <c r="B624" s="8"/>
      <c r="C624" s="836" t="str">
        <f>$C$33</f>
        <v>Permits Risk</v>
      </c>
      <c r="D624" s="57"/>
      <c r="E624" s="57"/>
      <c r="F624" s="57"/>
      <c r="G624" s="8"/>
      <c r="H624" s="8"/>
      <c r="I624" s="11"/>
      <c r="J624" s="1128"/>
      <c r="K624" s="1128"/>
      <c r="L624" s="1423">
        <v>0</v>
      </c>
      <c r="M624" s="1423">
        <v>0</v>
      </c>
      <c r="N624" s="1430">
        <v>0</v>
      </c>
      <c r="O624" s="1425">
        <v>0</v>
      </c>
      <c r="P624" s="1426">
        <v>0</v>
      </c>
      <c r="Q624" s="1431">
        <v>0</v>
      </c>
      <c r="R624" s="1432">
        <v>0</v>
      </c>
      <c r="S624" s="1433">
        <v>0</v>
      </c>
      <c r="T624" s="8"/>
      <c r="U624" s="8"/>
      <c r="V624" s="713"/>
      <c r="W624" s="713"/>
      <c r="X624" s="713"/>
      <c r="Y624" s="713"/>
      <c r="Z624" s="713"/>
      <c r="AA624" s="713"/>
      <c r="AB624" s="713"/>
      <c r="AC624" s="713"/>
      <c r="AD624" s="713"/>
      <c r="AE624" s="713"/>
      <c r="AF624" s="713"/>
      <c r="AG624" s="713"/>
      <c r="AH624" s="713"/>
      <c r="AI624" s="713"/>
      <c r="AJ624" s="713"/>
      <c r="AK624" s="713"/>
      <c r="AL624" s="713"/>
      <c r="AM624" s="713"/>
      <c r="AN624" s="713"/>
      <c r="AO624" s="713"/>
      <c r="AP624" s="713"/>
      <c r="AQ624" s="715"/>
    </row>
    <row r="625" spans="1:43" s="707" customFormat="1" ht="12.75" customHeight="1" x14ac:dyDescent="0.25">
      <c r="A625" s="8"/>
      <c r="B625" s="8"/>
      <c r="C625" s="836" t="str">
        <f>$C$34</f>
        <v>Social Acceptance Risk</v>
      </c>
      <c r="D625" s="57"/>
      <c r="E625" s="57"/>
      <c r="F625" s="57"/>
      <c r="G625" s="8"/>
      <c r="H625" s="8"/>
      <c r="I625" s="11"/>
      <c r="J625" s="1128"/>
      <c r="K625" s="1128"/>
      <c r="L625" s="1423">
        <v>0</v>
      </c>
      <c r="M625" s="1423">
        <v>0</v>
      </c>
      <c r="N625" s="1430">
        <v>0</v>
      </c>
      <c r="O625" s="1425">
        <v>0</v>
      </c>
      <c r="P625" s="1426">
        <v>0</v>
      </c>
      <c r="Q625" s="1431">
        <v>0</v>
      </c>
      <c r="R625" s="1432">
        <v>0</v>
      </c>
      <c r="S625" s="1433">
        <v>0</v>
      </c>
      <c r="T625" s="8"/>
      <c r="U625" s="8"/>
      <c r="V625" s="713"/>
      <c r="W625" s="713"/>
      <c r="X625" s="713"/>
      <c r="Y625" s="713"/>
      <c r="Z625" s="713"/>
      <c r="AA625" s="713"/>
      <c r="AB625" s="713"/>
      <c r="AC625" s="713"/>
      <c r="AD625" s="713"/>
      <c r="AE625" s="713"/>
      <c r="AF625" s="713"/>
      <c r="AG625" s="713"/>
      <c r="AH625" s="713"/>
      <c r="AI625" s="713"/>
      <c r="AJ625" s="713"/>
      <c r="AK625" s="713"/>
      <c r="AL625" s="713"/>
      <c r="AM625" s="713"/>
      <c r="AN625" s="713"/>
      <c r="AO625" s="713"/>
      <c r="AP625" s="713"/>
      <c r="AQ625" s="715"/>
    </row>
    <row r="626" spans="1:43" s="707" customFormat="1" ht="12.75" customHeight="1" x14ac:dyDescent="0.25">
      <c r="A626" s="8"/>
      <c r="B626" s="8"/>
      <c r="C626" s="836" t="str">
        <f>$C$35</f>
        <v>Resource &amp; Technology Risk</v>
      </c>
      <c r="D626" s="57"/>
      <c r="E626" s="57"/>
      <c r="F626" s="57"/>
      <c r="G626" s="8"/>
      <c r="H626" s="8"/>
      <c r="I626" s="11"/>
      <c r="J626" s="1128"/>
      <c r="K626" s="1128"/>
      <c r="L626" s="1423">
        <v>0</v>
      </c>
      <c r="M626" s="1423">
        <v>0</v>
      </c>
      <c r="N626" s="1430">
        <v>0</v>
      </c>
      <c r="O626" s="1425">
        <v>0</v>
      </c>
      <c r="P626" s="1426">
        <v>0</v>
      </c>
      <c r="Q626" s="1431">
        <v>0</v>
      </c>
      <c r="R626" s="1432">
        <v>0</v>
      </c>
      <c r="S626" s="1433">
        <v>0</v>
      </c>
      <c r="T626" s="8"/>
      <c r="U626" s="8"/>
      <c r="V626" s="713"/>
      <c r="W626" s="713"/>
      <c r="X626" s="713"/>
      <c r="Y626" s="713"/>
      <c r="Z626" s="713"/>
      <c r="AA626" s="713"/>
      <c r="AB626" s="713"/>
      <c r="AC626" s="713"/>
      <c r="AD626" s="713"/>
      <c r="AE626" s="713"/>
      <c r="AF626" s="713"/>
      <c r="AG626" s="713"/>
      <c r="AH626" s="713"/>
      <c r="AI626" s="713"/>
      <c r="AJ626" s="713"/>
      <c r="AK626" s="713"/>
      <c r="AL626" s="713"/>
      <c r="AM626" s="713"/>
      <c r="AN626" s="713"/>
      <c r="AO626" s="713"/>
      <c r="AP626" s="713"/>
      <c r="AQ626" s="715"/>
    </row>
    <row r="627" spans="1:43" s="707" customFormat="1" ht="12.75" customHeight="1" x14ac:dyDescent="0.25">
      <c r="A627" s="8"/>
      <c r="B627" s="8"/>
      <c r="C627" s="836" t="str">
        <f>$C$36</f>
        <v>Grid/Transmission Risk</v>
      </c>
      <c r="D627" s="57"/>
      <c r="E627" s="57"/>
      <c r="F627" s="57"/>
      <c r="G627" s="8"/>
      <c r="H627" s="8"/>
      <c r="I627" s="11"/>
      <c r="J627" s="1128"/>
      <c r="K627" s="1128"/>
      <c r="L627" s="1423">
        <v>0</v>
      </c>
      <c r="M627" s="1423">
        <v>0</v>
      </c>
      <c r="N627" s="1430">
        <v>0</v>
      </c>
      <c r="O627" s="1425">
        <v>0</v>
      </c>
      <c r="P627" s="1426">
        <v>0</v>
      </c>
      <c r="Q627" s="1431">
        <v>0</v>
      </c>
      <c r="R627" s="1432">
        <v>0</v>
      </c>
      <c r="S627" s="1433">
        <v>0</v>
      </c>
      <c r="T627" s="8"/>
      <c r="U627" s="8"/>
      <c r="V627" s="713"/>
      <c r="W627" s="713"/>
      <c r="X627" s="713"/>
      <c r="Y627" s="713"/>
      <c r="Z627" s="713"/>
      <c r="AA627" s="713"/>
      <c r="AB627" s="713"/>
      <c r="AC627" s="713"/>
      <c r="AD627" s="713"/>
      <c r="AE627" s="713"/>
      <c r="AF627" s="713"/>
      <c r="AG627" s="713"/>
      <c r="AH627" s="713"/>
      <c r="AI627" s="713"/>
      <c r="AJ627" s="713"/>
      <c r="AK627" s="713"/>
      <c r="AL627" s="713"/>
      <c r="AM627" s="713"/>
      <c r="AN627" s="713"/>
      <c r="AO627" s="713"/>
      <c r="AP627" s="713"/>
      <c r="AQ627" s="715"/>
    </row>
    <row r="628" spans="1:43" s="707" customFormat="1" ht="12.75" customHeight="1" x14ac:dyDescent="0.25">
      <c r="A628" s="8"/>
      <c r="B628" s="8"/>
      <c r="C628" s="836" t="str">
        <f>$C$37</f>
        <v>Counterparty Risk</v>
      </c>
      <c r="D628" s="57"/>
      <c r="E628" s="57"/>
      <c r="F628" s="57"/>
      <c r="G628" s="8"/>
      <c r="H628" s="8"/>
      <c r="I628" s="11"/>
      <c r="J628" s="1128"/>
      <c r="K628" s="1128"/>
      <c r="L628" s="1423">
        <v>0</v>
      </c>
      <c r="M628" s="1423">
        <v>0</v>
      </c>
      <c r="N628" s="1430">
        <v>0</v>
      </c>
      <c r="O628" s="1425">
        <v>0</v>
      </c>
      <c r="P628" s="1426">
        <v>0</v>
      </c>
      <c r="Q628" s="1431">
        <v>0</v>
      </c>
      <c r="R628" s="1432">
        <v>0</v>
      </c>
      <c r="S628" s="1433">
        <v>0</v>
      </c>
      <c r="T628" s="8"/>
      <c r="U628" s="8"/>
      <c r="V628" s="713"/>
      <c r="W628" s="713"/>
      <c r="X628" s="713"/>
      <c r="Y628" s="713"/>
      <c r="Z628" s="713"/>
      <c r="AA628" s="713"/>
      <c r="AB628" s="713"/>
      <c r="AC628" s="713"/>
      <c r="AD628" s="713"/>
      <c r="AE628" s="713"/>
      <c r="AF628" s="713"/>
      <c r="AG628" s="713"/>
      <c r="AH628" s="713"/>
      <c r="AI628" s="713"/>
      <c r="AJ628" s="713"/>
      <c r="AK628" s="713"/>
      <c r="AL628" s="713"/>
      <c r="AM628" s="713"/>
      <c r="AN628" s="713"/>
      <c r="AO628" s="713"/>
      <c r="AP628" s="713"/>
      <c r="AQ628" s="715"/>
    </row>
    <row r="629" spans="1:43" s="707" customFormat="1" ht="12.75" customHeight="1" x14ac:dyDescent="0.25">
      <c r="A629" s="8"/>
      <c r="B629" s="8"/>
      <c r="C629" s="836" t="str">
        <f>$C$38</f>
        <v>Financial Sector Risk</v>
      </c>
      <c r="D629" s="57"/>
      <c r="E629" s="57"/>
      <c r="F629" s="57"/>
      <c r="G629" s="8"/>
      <c r="H629" s="8"/>
      <c r="I629" s="11"/>
      <c r="J629" s="1128"/>
      <c r="K629" s="1128"/>
      <c r="L629" s="1423">
        <v>0</v>
      </c>
      <c r="M629" s="1423">
        <v>0</v>
      </c>
      <c r="N629" s="1430">
        <v>0</v>
      </c>
      <c r="O629" s="1425">
        <v>0</v>
      </c>
      <c r="P629" s="1426">
        <v>0</v>
      </c>
      <c r="Q629" s="1431">
        <v>0</v>
      </c>
      <c r="R629" s="1432">
        <v>0</v>
      </c>
      <c r="S629" s="1433">
        <v>0</v>
      </c>
      <c r="T629" s="8"/>
      <c r="U629" s="8"/>
      <c r="V629" s="713"/>
      <c r="W629" s="713"/>
      <c r="X629" s="713"/>
      <c r="Y629" s="713"/>
      <c r="Z629" s="713"/>
      <c r="AA629" s="713"/>
      <c r="AB629" s="713"/>
      <c r="AC629" s="713"/>
      <c r="AD629" s="713"/>
      <c r="AE629" s="713"/>
      <c r="AF629" s="713"/>
      <c r="AG629" s="713"/>
      <c r="AH629" s="713"/>
      <c r="AI629" s="713"/>
      <c r="AJ629" s="713"/>
      <c r="AK629" s="713"/>
      <c r="AL629" s="713"/>
      <c r="AM629" s="713"/>
      <c r="AN629" s="713"/>
      <c r="AO629" s="713"/>
      <c r="AP629" s="713"/>
      <c r="AQ629" s="715"/>
    </row>
    <row r="630" spans="1:43" s="707" customFormat="1" ht="12.75" customHeight="1" x14ac:dyDescent="0.25">
      <c r="A630" s="8"/>
      <c r="B630" s="8"/>
      <c r="C630" s="836" t="str">
        <f>$C$39</f>
        <v>Political Risk</v>
      </c>
      <c r="D630" s="57"/>
      <c r="E630" s="57"/>
      <c r="F630" s="57"/>
      <c r="G630" s="8"/>
      <c r="H630" s="8"/>
      <c r="I630" s="11"/>
      <c r="J630" s="1128"/>
      <c r="K630" s="1128"/>
      <c r="L630" s="1423">
        <v>0</v>
      </c>
      <c r="M630" s="1423">
        <v>0</v>
      </c>
      <c r="N630" s="1430">
        <v>0</v>
      </c>
      <c r="O630" s="1425">
        <v>0</v>
      </c>
      <c r="P630" s="1426">
        <v>0</v>
      </c>
      <c r="Q630" s="1431">
        <v>0</v>
      </c>
      <c r="R630" s="1432">
        <v>0</v>
      </c>
      <c r="S630" s="1433">
        <v>0</v>
      </c>
      <c r="T630" s="8"/>
      <c r="U630" s="8"/>
      <c r="V630" s="713"/>
      <c r="W630" s="713"/>
      <c r="X630" s="713"/>
      <c r="Y630" s="713"/>
      <c r="Z630" s="713"/>
      <c r="AA630" s="713"/>
      <c r="AB630" s="713"/>
      <c r="AC630" s="713"/>
      <c r="AD630" s="713"/>
      <c r="AE630" s="713"/>
      <c r="AF630" s="713"/>
      <c r="AG630" s="713"/>
      <c r="AH630" s="713"/>
      <c r="AI630" s="713"/>
      <c r="AJ630" s="713"/>
      <c r="AK630" s="713"/>
      <c r="AL630" s="713"/>
      <c r="AM630" s="713"/>
      <c r="AN630" s="713"/>
      <c r="AO630" s="713"/>
      <c r="AP630" s="713"/>
      <c r="AQ630" s="715"/>
    </row>
    <row r="631" spans="1:43" s="707" customFormat="1" ht="12.75" customHeight="1" x14ac:dyDescent="0.25">
      <c r="A631" s="8"/>
      <c r="B631" s="8"/>
      <c r="C631" s="857" t="str">
        <f>$C$40</f>
        <v>Currency/Macro Risk</v>
      </c>
      <c r="D631" s="857"/>
      <c r="E631" s="857"/>
      <c r="F631" s="857"/>
      <c r="G631" s="857"/>
      <c r="H631" s="857"/>
      <c r="I631" s="857"/>
      <c r="J631" s="857"/>
      <c r="K631" s="857"/>
      <c r="L631" s="1434">
        <v>0</v>
      </c>
      <c r="M631" s="1423">
        <v>0</v>
      </c>
      <c r="N631" s="1430">
        <v>0</v>
      </c>
      <c r="O631" s="1435">
        <v>0</v>
      </c>
      <c r="P631" s="1436">
        <v>0</v>
      </c>
      <c r="Q631" s="1436">
        <v>0</v>
      </c>
      <c r="R631" s="1437">
        <v>0</v>
      </c>
      <c r="S631" s="1438">
        <v>0</v>
      </c>
      <c r="T631" s="8"/>
      <c r="U631" s="8"/>
      <c r="V631" s="713"/>
      <c r="W631" s="713"/>
      <c r="X631" s="713"/>
      <c r="Y631" s="713"/>
      <c r="Z631" s="713"/>
      <c r="AA631" s="713"/>
      <c r="AB631" s="713"/>
      <c r="AC631" s="713"/>
      <c r="AD631" s="713"/>
      <c r="AE631" s="713"/>
      <c r="AF631" s="713"/>
      <c r="AG631" s="713"/>
      <c r="AH631" s="713"/>
      <c r="AI631" s="713"/>
      <c r="AJ631" s="713"/>
      <c r="AK631" s="713"/>
      <c r="AL631" s="713"/>
      <c r="AM631" s="713"/>
      <c r="AN631" s="713"/>
      <c r="AO631" s="713"/>
      <c r="AP631" s="713"/>
      <c r="AQ631" s="715"/>
    </row>
    <row r="632" spans="1:43" s="707" customFormat="1" ht="12.75" customHeight="1" x14ac:dyDescent="0.25">
      <c r="A632" s="8"/>
      <c r="B632" s="8"/>
      <c r="C632" s="56" t="s">
        <v>81</v>
      </c>
      <c r="D632" s="132"/>
      <c r="E632" s="56"/>
      <c r="F632" s="57"/>
      <c r="G632" s="57"/>
      <c r="H632" s="57"/>
      <c r="I632" s="57"/>
      <c r="J632" s="57"/>
      <c r="K632" s="57"/>
      <c r="L632" s="1439">
        <v>0</v>
      </c>
      <c r="M632" s="1440">
        <v>0</v>
      </c>
      <c r="N632" s="1441">
        <v>0</v>
      </c>
      <c r="O632" s="1442">
        <v>0</v>
      </c>
      <c r="P632" s="1443">
        <v>0</v>
      </c>
      <c r="Q632" s="1444">
        <v>0</v>
      </c>
      <c r="R632" s="1445">
        <v>0</v>
      </c>
      <c r="S632" s="1446">
        <v>0</v>
      </c>
      <c r="T632" s="8"/>
      <c r="U632" s="8"/>
      <c r="V632" s="713"/>
      <c r="W632" s="713"/>
      <c r="X632" s="713"/>
      <c r="Y632" s="713"/>
      <c r="Z632" s="713"/>
      <c r="AA632" s="713"/>
      <c r="AB632" s="713"/>
      <c r="AC632" s="713"/>
      <c r="AD632" s="713"/>
      <c r="AE632" s="713"/>
      <c r="AF632" s="713"/>
      <c r="AG632" s="713"/>
      <c r="AH632" s="713"/>
      <c r="AI632" s="713"/>
      <c r="AJ632" s="713"/>
      <c r="AK632" s="713"/>
      <c r="AL632" s="713"/>
      <c r="AM632" s="713"/>
      <c r="AN632" s="713"/>
      <c r="AO632" s="713"/>
      <c r="AP632" s="713"/>
      <c r="AQ632" s="715"/>
    </row>
    <row r="633" spans="1:43" s="707" customFormat="1" ht="12.75" customHeight="1" x14ac:dyDescent="0.25">
      <c r="A633" s="8"/>
      <c r="B633" s="8"/>
      <c r="C633" s="8"/>
      <c r="D633" s="8"/>
      <c r="E633" s="8"/>
      <c r="F633" s="8"/>
      <c r="G633" s="8"/>
      <c r="H633" s="8"/>
      <c r="I633" s="11"/>
      <c r="J633" s="1128"/>
      <c r="K633" s="1128"/>
      <c r="L633" s="1128"/>
      <c r="M633" s="1128"/>
      <c r="N633" s="1128"/>
      <c r="O633" s="1128"/>
      <c r="P633" s="40"/>
      <c r="Q633" s="8"/>
      <c r="R633" s="8"/>
      <c r="S633" s="8"/>
      <c r="T633" s="8"/>
      <c r="U633" s="8"/>
      <c r="V633" s="713"/>
      <c r="W633" s="713"/>
      <c r="X633" s="713"/>
      <c r="Y633" s="713"/>
      <c r="Z633" s="713"/>
      <c r="AA633" s="713"/>
      <c r="AB633" s="713"/>
      <c r="AC633" s="713"/>
      <c r="AD633" s="713"/>
      <c r="AE633" s="713"/>
      <c r="AF633" s="713"/>
      <c r="AG633" s="713"/>
      <c r="AH633" s="713"/>
      <c r="AI633" s="713"/>
      <c r="AJ633" s="713"/>
      <c r="AK633" s="713"/>
      <c r="AL633" s="713"/>
      <c r="AM633" s="713"/>
      <c r="AN633" s="713"/>
      <c r="AO633" s="713"/>
      <c r="AP633" s="713"/>
      <c r="AQ633" s="715"/>
    </row>
    <row r="634" spans="1:43" s="707" customFormat="1" ht="12.75" customHeight="1" x14ac:dyDescent="0.25">
      <c r="A634" s="8"/>
      <c r="B634" s="8"/>
      <c r="C634" s="8"/>
      <c r="D634" s="8"/>
      <c r="E634" s="8"/>
      <c r="F634" s="8"/>
      <c r="G634" s="8"/>
      <c r="H634" s="8"/>
      <c r="I634" s="11"/>
      <c r="J634" s="1128"/>
      <c r="K634" s="1128"/>
      <c r="L634" s="1128"/>
      <c r="M634" s="1128"/>
      <c r="N634" s="1128"/>
      <c r="O634" s="1128"/>
      <c r="P634" s="40"/>
      <c r="Q634" s="8"/>
      <c r="R634" s="8"/>
      <c r="S634" s="8"/>
      <c r="T634" s="8"/>
      <c r="U634" s="8"/>
      <c r="V634" s="713"/>
      <c r="W634" s="713"/>
      <c r="X634" s="713"/>
      <c r="Y634" s="713"/>
      <c r="Z634" s="713"/>
      <c r="AA634" s="713"/>
      <c r="AB634" s="713"/>
      <c r="AC634" s="713"/>
      <c r="AD634" s="713"/>
      <c r="AE634" s="713"/>
      <c r="AF634" s="713"/>
      <c r="AG634" s="713"/>
      <c r="AH634" s="713"/>
      <c r="AI634" s="713"/>
      <c r="AJ634" s="713"/>
      <c r="AK634" s="713"/>
      <c r="AL634" s="713"/>
      <c r="AM634" s="713"/>
      <c r="AN634" s="713"/>
      <c r="AO634" s="713"/>
      <c r="AP634" s="713"/>
      <c r="AQ634" s="715"/>
    </row>
    <row r="635" spans="1:43" s="707" customFormat="1" ht="12.75" customHeight="1" x14ac:dyDescent="0.25">
      <c r="A635" s="8"/>
      <c r="B635" s="8"/>
      <c r="C635" s="8"/>
      <c r="D635" s="8"/>
      <c r="E635" s="8"/>
      <c r="F635" s="8"/>
      <c r="G635" s="8"/>
      <c r="H635" s="8"/>
      <c r="I635" s="11"/>
      <c r="J635" s="1128"/>
      <c r="K635" s="1128"/>
      <c r="L635" s="1128"/>
      <c r="M635" s="1128"/>
      <c r="N635" s="1128"/>
      <c r="O635" s="1128"/>
      <c r="P635" s="40"/>
      <c r="Q635" s="8"/>
      <c r="R635" s="8"/>
      <c r="S635" s="8"/>
      <c r="T635" s="8"/>
      <c r="U635" s="8"/>
      <c r="V635" s="713"/>
      <c r="W635" s="713"/>
      <c r="X635" s="713"/>
      <c r="Y635" s="713"/>
      <c r="Z635" s="713"/>
      <c r="AA635" s="713"/>
      <c r="AB635" s="713"/>
      <c r="AC635" s="713"/>
      <c r="AD635" s="713"/>
      <c r="AE635" s="713"/>
      <c r="AF635" s="713"/>
      <c r="AG635" s="713"/>
      <c r="AH635" s="713"/>
      <c r="AI635" s="713"/>
      <c r="AJ635" s="713"/>
      <c r="AK635" s="713"/>
      <c r="AL635" s="713"/>
      <c r="AM635" s="713"/>
      <c r="AN635" s="713"/>
      <c r="AO635" s="713"/>
      <c r="AP635" s="713"/>
      <c r="AQ635" s="715"/>
    </row>
    <row r="636" spans="1:43" s="707" customFormat="1" ht="12.75" customHeight="1" x14ac:dyDescent="0.25">
      <c r="A636" s="8"/>
      <c r="B636" s="8"/>
      <c r="C636" s="8"/>
      <c r="D636" s="8"/>
      <c r="E636" s="8"/>
      <c r="F636" s="8"/>
      <c r="G636" s="8"/>
      <c r="H636" s="8"/>
      <c r="I636" s="8"/>
      <c r="J636" s="1127"/>
      <c r="K636" s="1127"/>
      <c r="L636" s="1127"/>
      <c r="M636" s="1127"/>
      <c r="N636" s="1518" t="s">
        <v>464</v>
      </c>
      <c r="O636" s="1553"/>
      <c r="P636" s="1553"/>
      <c r="Q636" s="1554"/>
      <c r="R636" s="8"/>
      <c r="S636" s="8"/>
      <c r="T636" s="8"/>
      <c r="U636" s="8"/>
      <c r="V636" s="713"/>
      <c r="W636" s="713"/>
      <c r="X636" s="713"/>
      <c r="Y636" s="713"/>
      <c r="Z636" s="713"/>
      <c r="AA636" s="713"/>
      <c r="AB636" s="713"/>
      <c r="AC636" s="713"/>
      <c r="AD636" s="713"/>
      <c r="AE636" s="713"/>
      <c r="AF636" s="713"/>
      <c r="AG636" s="713"/>
      <c r="AH636" s="713"/>
      <c r="AI636" s="713"/>
      <c r="AJ636" s="713"/>
      <c r="AK636" s="713"/>
      <c r="AL636" s="713"/>
      <c r="AM636" s="713"/>
      <c r="AN636" s="713"/>
      <c r="AO636" s="713"/>
      <c r="AP636" s="713"/>
      <c r="AQ636" s="715"/>
    </row>
    <row r="637" spans="1:43" s="707" customFormat="1" ht="12.75" customHeight="1" x14ac:dyDescent="0.25">
      <c r="A637" s="8"/>
      <c r="B637" s="8"/>
      <c r="C637" s="8"/>
      <c r="D637" s="8"/>
      <c r="E637" s="8"/>
      <c r="F637" s="8"/>
      <c r="G637" s="8"/>
      <c r="H637" s="8"/>
      <c r="I637" s="8"/>
      <c r="J637" s="1127"/>
      <c r="K637" s="1127"/>
      <c r="L637" s="1127"/>
      <c r="M637" s="1127"/>
      <c r="N637" s="1501" t="s">
        <v>200</v>
      </c>
      <c r="O637" s="1502"/>
      <c r="P637" s="1503" t="s">
        <v>201</v>
      </c>
      <c r="Q637" s="1504"/>
      <c r="R637" s="8"/>
      <c r="S637" s="8"/>
      <c r="T637" s="8"/>
      <c r="U637" s="8"/>
      <c r="V637" s="713"/>
      <c r="W637" s="713"/>
      <c r="X637" s="713"/>
      <c r="Y637" s="713"/>
      <c r="Z637" s="713"/>
      <c r="AA637" s="713"/>
      <c r="AB637" s="713"/>
      <c r="AC637" s="713"/>
      <c r="AD637" s="713"/>
      <c r="AE637" s="713"/>
      <c r="AF637" s="713"/>
      <c r="AG637" s="713"/>
      <c r="AH637" s="713"/>
      <c r="AI637" s="713"/>
      <c r="AJ637" s="713"/>
      <c r="AK637" s="713"/>
      <c r="AL637" s="713"/>
      <c r="AM637" s="713"/>
      <c r="AN637" s="713"/>
      <c r="AO637" s="713"/>
      <c r="AP637" s="713"/>
      <c r="AQ637" s="715"/>
    </row>
    <row r="638" spans="1:43" s="707" customFormat="1" ht="12.75" customHeight="1" x14ac:dyDescent="0.25">
      <c r="A638" s="8"/>
      <c r="B638" s="8"/>
      <c r="C638" s="11" t="s">
        <v>465</v>
      </c>
      <c r="D638" s="711"/>
      <c r="E638" s="11"/>
      <c r="F638" s="11"/>
      <c r="G638" s="11"/>
      <c r="H638" s="11"/>
      <c r="I638" s="11"/>
      <c r="J638" s="1128" t="s">
        <v>614</v>
      </c>
      <c r="K638" s="1128"/>
      <c r="L638" s="1128"/>
      <c r="M638" s="1128"/>
      <c r="N638" s="1977">
        <v>0</v>
      </c>
      <c r="O638" s="1978"/>
      <c r="P638" s="1979">
        <v>0</v>
      </c>
      <c r="Q638" s="1980"/>
      <c r="R638" s="8"/>
      <c r="S638" s="8"/>
      <c r="T638" s="8"/>
      <c r="U638" s="8"/>
      <c r="V638" s="713"/>
      <c r="W638" s="713"/>
      <c r="X638" s="713"/>
      <c r="Y638" s="713"/>
      <c r="Z638" s="713"/>
      <c r="AA638" s="713"/>
      <c r="AB638" s="713"/>
      <c r="AC638" s="713"/>
      <c r="AD638" s="713"/>
      <c r="AE638" s="713"/>
      <c r="AF638" s="713"/>
      <c r="AG638" s="713"/>
      <c r="AH638" s="713"/>
      <c r="AI638" s="713"/>
      <c r="AJ638" s="713"/>
      <c r="AK638" s="713"/>
      <c r="AL638" s="713"/>
      <c r="AM638" s="713"/>
      <c r="AN638" s="713"/>
      <c r="AO638" s="713"/>
      <c r="AP638" s="713"/>
      <c r="AQ638" s="715"/>
    </row>
    <row r="639" spans="1:43" s="707" customFormat="1" ht="12.75" customHeight="1" x14ac:dyDescent="0.25">
      <c r="A639" s="8"/>
      <c r="B639" s="8"/>
      <c r="C639" s="711"/>
      <c r="D639" s="8" t="s">
        <v>466</v>
      </c>
      <c r="E639" s="711"/>
      <c r="F639" s="11"/>
      <c r="G639" s="11"/>
      <c r="H639" s="11"/>
      <c r="I639" s="11"/>
      <c r="J639" s="1172" t="s">
        <v>614</v>
      </c>
      <c r="K639" s="1172"/>
      <c r="L639" s="1172"/>
      <c r="M639" s="1173"/>
      <c r="N639" s="2009">
        <v>0</v>
      </c>
      <c r="O639" s="2010"/>
      <c r="P639" s="2011">
        <v>0</v>
      </c>
      <c r="Q639" s="2012"/>
      <c r="R639" s="8"/>
      <c r="S639" s="8"/>
      <c r="T639" s="8"/>
      <c r="U639" s="8"/>
      <c r="V639" s="713"/>
      <c r="W639" s="713"/>
      <c r="X639" s="713"/>
      <c r="Y639" s="713"/>
      <c r="Z639" s="713"/>
      <c r="AA639" s="713"/>
      <c r="AB639" s="713"/>
      <c r="AC639" s="713"/>
      <c r="AD639" s="713"/>
      <c r="AE639" s="713"/>
      <c r="AF639" s="713"/>
      <c r="AG639" s="713"/>
      <c r="AH639" s="713"/>
      <c r="AI639" s="713"/>
      <c r="AJ639" s="713"/>
      <c r="AK639" s="713"/>
      <c r="AL639" s="713"/>
      <c r="AM639" s="713"/>
      <c r="AN639" s="713"/>
      <c r="AO639" s="713"/>
      <c r="AP639" s="713"/>
      <c r="AQ639" s="715"/>
    </row>
    <row r="640" spans="1:43" s="707" customFormat="1" ht="12.75" customHeight="1" x14ac:dyDescent="0.25">
      <c r="A640" s="8"/>
      <c r="B640" s="8"/>
      <c r="C640" s="711"/>
      <c r="D640" s="8" t="s">
        <v>496</v>
      </c>
      <c r="E640" s="711"/>
      <c r="F640" s="11"/>
      <c r="G640" s="11"/>
      <c r="H640" s="11"/>
      <c r="I640" s="11"/>
      <c r="J640" s="1172" t="s">
        <v>614</v>
      </c>
      <c r="K640" s="1172"/>
      <c r="L640" s="1172"/>
      <c r="M640" s="1173"/>
      <c r="N640" s="2013">
        <v>0</v>
      </c>
      <c r="O640" s="2014"/>
      <c r="P640" s="2015">
        <v>0</v>
      </c>
      <c r="Q640" s="2016"/>
      <c r="R640" s="8"/>
      <c r="S640" s="8"/>
      <c r="T640" s="8"/>
      <c r="U640" s="8"/>
      <c r="V640" s="713"/>
      <c r="W640" s="713"/>
      <c r="X640" s="713"/>
      <c r="Y640" s="713"/>
      <c r="Z640" s="713"/>
      <c r="AA640" s="713"/>
      <c r="AB640" s="713"/>
      <c r="AC640" s="713"/>
      <c r="AD640" s="713"/>
      <c r="AE640" s="713"/>
      <c r="AF640" s="713"/>
      <c r="AG640" s="713"/>
      <c r="AH640" s="713"/>
      <c r="AI640" s="713"/>
      <c r="AJ640" s="713"/>
      <c r="AK640" s="713"/>
      <c r="AL640" s="713"/>
      <c r="AM640" s="713"/>
      <c r="AN640" s="713"/>
      <c r="AO640" s="713"/>
      <c r="AP640" s="713"/>
      <c r="AQ640" s="715"/>
    </row>
    <row r="641" spans="1:43" s="707" customFormat="1" ht="12.75" customHeight="1" x14ac:dyDescent="0.25">
      <c r="A641" s="8"/>
      <c r="B641" s="8"/>
      <c r="C641" s="8"/>
      <c r="D641" s="8"/>
      <c r="E641" s="8"/>
      <c r="F641" s="8"/>
      <c r="G641" s="8"/>
      <c r="H641" s="8"/>
      <c r="I641" s="11"/>
      <c r="J641" s="1128"/>
      <c r="K641" s="1128"/>
      <c r="L641" s="1128"/>
      <c r="M641" s="1128"/>
      <c r="N641" s="1128"/>
      <c r="O641" s="1128"/>
      <c r="P641" s="40"/>
      <c r="Q641" s="8"/>
      <c r="R641" s="8"/>
      <c r="S641" s="8"/>
      <c r="T641" s="8"/>
      <c r="U641" s="8"/>
      <c r="V641" s="713"/>
      <c r="W641" s="713"/>
      <c r="X641" s="713"/>
      <c r="Y641" s="713"/>
      <c r="Z641" s="713"/>
      <c r="AA641" s="713"/>
      <c r="AB641" s="713"/>
      <c r="AC641" s="713"/>
      <c r="AD641" s="713"/>
      <c r="AE641" s="713"/>
      <c r="AF641" s="713"/>
      <c r="AG641" s="713"/>
      <c r="AH641" s="713"/>
      <c r="AI641" s="713"/>
      <c r="AJ641" s="713"/>
      <c r="AK641" s="713"/>
      <c r="AL641" s="713"/>
      <c r="AM641" s="713"/>
      <c r="AN641" s="713"/>
      <c r="AO641" s="713"/>
      <c r="AP641" s="713"/>
      <c r="AQ641" s="715"/>
    </row>
    <row r="642" spans="1:43" s="707" customFormat="1" ht="12.75" customHeight="1" x14ac:dyDescent="0.25">
      <c r="A642" s="8"/>
      <c r="B642" s="8"/>
      <c r="C642" s="8"/>
      <c r="D642" s="8"/>
      <c r="E642" s="8"/>
      <c r="F642" s="8"/>
      <c r="G642" s="8"/>
      <c r="H642" s="8"/>
      <c r="I642" s="8"/>
      <c r="J642" s="1128"/>
      <c r="K642" s="1128"/>
      <c r="L642" s="1128"/>
      <c r="M642" s="1128"/>
      <c r="N642" s="1583" t="s">
        <v>464</v>
      </c>
      <c r="O642" s="1584"/>
      <c r="P642" s="1584"/>
      <c r="Q642" s="1585"/>
      <c r="R642" s="8"/>
      <c r="S642" s="8"/>
      <c r="T642" s="8"/>
      <c r="U642" s="8"/>
      <c r="V642" s="713"/>
      <c r="W642" s="713"/>
      <c r="X642" s="713"/>
      <c r="Y642" s="713"/>
      <c r="Z642" s="713"/>
      <c r="AA642" s="713"/>
      <c r="AB642" s="713"/>
      <c r="AC642" s="713"/>
      <c r="AD642" s="713"/>
      <c r="AE642" s="713"/>
      <c r="AF642" s="713"/>
      <c r="AG642" s="713"/>
      <c r="AH642" s="713"/>
      <c r="AI642" s="713"/>
      <c r="AJ642" s="713"/>
      <c r="AK642" s="713"/>
      <c r="AL642" s="713"/>
      <c r="AM642" s="713"/>
      <c r="AN642" s="713"/>
      <c r="AO642" s="713"/>
      <c r="AP642" s="713"/>
      <c r="AQ642" s="715"/>
    </row>
    <row r="643" spans="1:43" s="707" customFormat="1" ht="12.75" customHeight="1" x14ac:dyDescent="0.25">
      <c r="A643" s="8"/>
      <c r="B643" s="8"/>
      <c r="C643" s="11"/>
      <c r="D643" s="11"/>
      <c r="E643" s="11"/>
      <c r="F643" s="11"/>
      <c r="G643" s="11"/>
      <c r="H643" s="11"/>
      <c r="I643" s="8"/>
      <c r="J643" s="1128"/>
      <c r="K643" s="1128"/>
      <c r="L643" s="1128"/>
      <c r="M643" s="1128"/>
      <c r="N643" s="1501" t="s">
        <v>200</v>
      </c>
      <c r="O643" s="1502"/>
      <c r="P643" s="1503" t="s">
        <v>201</v>
      </c>
      <c r="Q643" s="1504"/>
      <c r="R643" s="8"/>
      <c r="S643" s="8"/>
      <c r="T643" s="8"/>
      <c r="U643" s="8"/>
      <c r="V643" s="713"/>
      <c r="W643" s="713"/>
      <c r="X643" s="713"/>
      <c r="Y643" s="713"/>
      <c r="Z643" s="713"/>
      <c r="AA643" s="713"/>
      <c r="AB643" s="713"/>
      <c r="AC643" s="713"/>
      <c r="AD643" s="713"/>
      <c r="AE643" s="713"/>
      <c r="AF643" s="713"/>
      <c r="AG643" s="713"/>
      <c r="AH643" s="713"/>
      <c r="AI643" s="713"/>
      <c r="AJ643" s="713"/>
      <c r="AK643" s="713"/>
      <c r="AL643" s="713"/>
      <c r="AM643" s="713"/>
      <c r="AN643" s="713"/>
      <c r="AO643" s="713"/>
      <c r="AP643" s="713"/>
      <c r="AQ643" s="715"/>
    </row>
    <row r="644" spans="1:43" s="707" customFormat="1" ht="12.75" customHeight="1" x14ac:dyDescent="0.25">
      <c r="A644" s="8"/>
      <c r="B644" s="8"/>
      <c r="C644" s="11" t="s">
        <v>146</v>
      </c>
      <c r="D644" s="11"/>
      <c r="E644" s="11"/>
      <c r="F644" s="11"/>
      <c r="G644" s="11"/>
      <c r="H644" s="11"/>
      <c r="I644" s="8"/>
      <c r="J644" s="1128"/>
      <c r="K644" s="1128"/>
      <c r="L644" s="1128"/>
      <c r="M644" s="1128"/>
      <c r="N644" s="1644"/>
      <c r="O644" s="1645"/>
      <c r="P644" s="1640"/>
      <c r="Q644" s="1641"/>
      <c r="R644" s="8"/>
      <c r="S644" s="8"/>
      <c r="T644" s="8"/>
      <c r="U644" s="8"/>
      <c r="V644" s="713"/>
      <c r="W644" s="713"/>
      <c r="X644" s="713"/>
      <c r="Y644" s="713"/>
      <c r="Z644" s="713"/>
      <c r="AA644" s="713"/>
      <c r="AB644" s="713"/>
      <c r="AC644" s="713"/>
      <c r="AD644" s="713"/>
      <c r="AE644" s="713"/>
      <c r="AF644" s="713"/>
      <c r="AG644" s="713"/>
      <c r="AH644" s="713"/>
      <c r="AI644" s="713"/>
      <c r="AJ644" s="713"/>
      <c r="AK644" s="713"/>
      <c r="AL644" s="713"/>
      <c r="AM644" s="713"/>
      <c r="AN644" s="713"/>
      <c r="AO644" s="713"/>
      <c r="AP644" s="713"/>
      <c r="AQ644" s="715"/>
    </row>
    <row r="645" spans="1:43" s="707" customFormat="1" ht="12.75" customHeight="1" x14ac:dyDescent="0.25">
      <c r="A645" s="8"/>
      <c r="B645" s="8"/>
      <c r="C645" s="11"/>
      <c r="D645" s="11" t="s">
        <v>245</v>
      </c>
      <c r="E645" s="11"/>
      <c r="F645" s="11"/>
      <c r="G645" s="11"/>
      <c r="H645" s="11"/>
      <c r="I645" s="8"/>
      <c r="J645" s="1128"/>
      <c r="K645" s="1128"/>
      <c r="L645" s="1128"/>
      <c r="M645" s="1128"/>
      <c r="N645" s="1985">
        <v>0</v>
      </c>
      <c r="O645" s="1986"/>
      <c r="P645" s="1987">
        <v>0</v>
      </c>
      <c r="Q645" s="1988"/>
      <c r="R645" s="8"/>
      <c r="S645" s="8"/>
      <c r="T645" s="8"/>
      <c r="U645" s="8"/>
      <c r="V645" s="713"/>
      <c r="W645" s="713"/>
      <c r="X645" s="713"/>
      <c r="Y645" s="713"/>
      <c r="Z645" s="713"/>
      <c r="AA645" s="713"/>
      <c r="AB645" s="713"/>
      <c r="AC645" s="713"/>
      <c r="AD645" s="713"/>
      <c r="AE645" s="713"/>
      <c r="AF645" s="713"/>
      <c r="AG645" s="713"/>
      <c r="AH645" s="713"/>
      <c r="AI645" s="713"/>
      <c r="AJ645" s="713"/>
      <c r="AK645" s="713"/>
      <c r="AL645" s="713"/>
      <c r="AM645" s="713"/>
      <c r="AN645" s="713"/>
      <c r="AO645" s="713"/>
      <c r="AP645" s="713"/>
      <c r="AQ645" s="715"/>
    </row>
    <row r="646" spans="1:43" s="707" customFormat="1" ht="12.75" customHeight="1" x14ac:dyDescent="0.25">
      <c r="A646" s="8"/>
      <c r="B646" s="8"/>
      <c r="C646" s="8"/>
      <c r="D646" s="8" t="s">
        <v>471</v>
      </c>
      <c r="E646" s="8"/>
      <c r="F646" s="8"/>
      <c r="G646" s="8"/>
      <c r="H646" s="8"/>
      <c r="I646" s="8"/>
      <c r="J646" s="1127" t="s">
        <v>154</v>
      </c>
      <c r="K646" s="1127"/>
      <c r="L646" s="1127"/>
      <c r="M646" s="1127"/>
      <c r="N646" s="1995">
        <v>0</v>
      </c>
      <c r="O646" s="1996"/>
      <c r="P646" s="1993">
        <v>0</v>
      </c>
      <c r="Q646" s="1994"/>
      <c r="R646" s="8"/>
      <c r="S646" s="8"/>
      <c r="T646" s="8"/>
      <c r="U646" s="8"/>
      <c r="V646" s="713"/>
      <c r="W646" s="713"/>
      <c r="X646" s="713"/>
      <c r="Y646" s="713"/>
      <c r="Z646" s="713"/>
      <c r="AA646" s="713"/>
      <c r="AB646" s="713"/>
      <c r="AC646" s="713"/>
      <c r="AD646" s="713"/>
      <c r="AE646" s="713"/>
      <c r="AF646" s="713"/>
      <c r="AG646" s="713"/>
      <c r="AH646" s="713"/>
      <c r="AI646" s="713"/>
      <c r="AJ646" s="713"/>
      <c r="AK646" s="713"/>
      <c r="AL646" s="713"/>
      <c r="AM646" s="713"/>
      <c r="AN646" s="713"/>
      <c r="AO646" s="713"/>
      <c r="AP646" s="713"/>
      <c r="AQ646" s="715"/>
    </row>
    <row r="647" spans="1:43" s="707" customFormat="1" ht="12.75" customHeight="1" x14ac:dyDescent="0.25">
      <c r="A647" s="8"/>
      <c r="B647" s="8"/>
      <c r="C647" s="8"/>
      <c r="D647" s="1129" t="s">
        <v>533</v>
      </c>
      <c r="E647" s="8"/>
      <c r="F647" s="8"/>
      <c r="G647" s="8"/>
      <c r="H647" s="8"/>
      <c r="I647" s="8"/>
      <c r="J647" s="1127" t="s">
        <v>154</v>
      </c>
      <c r="K647" s="1127"/>
      <c r="L647" s="1127"/>
      <c r="M647" s="1127"/>
      <c r="N647" s="1995">
        <v>0</v>
      </c>
      <c r="O647" s="1996"/>
      <c r="P647" s="1993">
        <v>0</v>
      </c>
      <c r="Q647" s="1994"/>
      <c r="R647" s="8"/>
      <c r="S647" s="8"/>
      <c r="T647" s="8"/>
      <c r="U647" s="8"/>
      <c r="V647" s="713"/>
      <c r="W647" s="713"/>
      <c r="X647" s="713"/>
      <c r="Y647" s="713"/>
      <c r="Z647" s="713"/>
      <c r="AA647" s="713"/>
      <c r="AB647" s="713"/>
      <c r="AC647" s="713"/>
      <c r="AD647" s="713"/>
      <c r="AE647" s="713"/>
      <c r="AF647" s="713"/>
      <c r="AG647" s="713"/>
      <c r="AH647" s="713"/>
      <c r="AI647" s="713"/>
      <c r="AJ647" s="713"/>
      <c r="AK647" s="713"/>
      <c r="AL647" s="713"/>
      <c r="AM647" s="713"/>
      <c r="AN647" s="713"/>
      <c r="AO647" s="713"/>
      <c r="AP647" s="713"/>
      <c r="AQ647" s="715"/>
    </row>
    <row r="648" spans="1:43" s="707" customFormat="1" ht="12.75" customHeight="1" x14ac:dyDescent="0.25">
      <c r="A648" s="8"/>
      <c r="B648" s="8"/>
      <c r="C648" s="8"/>
      <c r="D648" s="8" t="s">
        <v>306</v>
      </c>
      <c r="E648" s="8"/>
      <c r="F648" s="8"/>
      <c r="G648" s="8"/>
      <c r="H648" s="8"/>
      <c r="I648" s="8"/>
      <c r="J648" s="1127" t="s">
        <v>154</v>
      </c>
      <c r="K648" s="1127"/>
      <c r="L648" s="1127"/>
      <c r="M648" s="1127"/>
      <c r="N648" s="1995">
        <v>0</v>
      </c>
      <c r="O648" s="1996"/>
      <c r="P648" s="1993">
        <v>0</v>
      </c>
      <c r="Q648" s="1994"/>
      <c r="R648" s="8"/>
      <c r="S648" s="8"/>
      <c r="T648" s="8"/>
      <c r="U648" s="8"/>
      <c r="V648" s="713"/>
      <c r="W648" s="713"/>
      <c r="X648" s="713"/>
      <c r="Y648" s="713"/>
      <c r="Z648" s="713"/>
      <c r="AA648" s="713"/>
      <c r="AB648" s="713"/>
      <c r="AC648" s="713"/>
      <c r="AD648" s="713"/>
      <c r="AE648" s="713"/>
      <c r="AF648" s="713"/>
      <c r="AG648" s="713"/>
      <c r="AH648" s="713"/>
      <c r="AI648" s="713"/>
      <c r="AJ648" s="713"/>
      <c r="AK648" s="713"/>
      <c r="AL648" s="713"/>
      <c r="AM648" s="713"/>
      <c r="AN648" s="713"/>
      <c r="AO648" s="713"/>
      <c r="AP648" s="713"/>
      <c r="AQ648" s="715"/>
    </row>
    <row r="649" spans="1:43" s="707" customFormat="1" ht="12.75" customHeight="1" x14ac:dyDescent="0.25">
      <c r="A649" s="8"/>
      <c r="B649" s="8"/>
      <c r="C649" s="8"/>
      <c r="D649" s="8" t="s">
        <v>305</v>
      </c>
      <c r="E649" s="8"/>
      <c r="F649" s="8"/>
      <c r="G649" s="8"/>
      <c r="H649" s="8"/>
      <c r="I649" s="8"/>
      <c r="J649" s="1127" t="s">
        <v>154</v>
      </c>
      <c r="K649" s="1127"/>
      <c r="L649" s="1127"/>
      <c r="M649" s="1127"/>
      <c r="N649" s="1995">
        <v>0</v>
      </c>
      <c r="O649" s="1996"/>
      <c r="P649" s="1993">
        <v>0</v>
      </c>
      <c r="Q649" s="1994"/>
      <c r="R649" s="8"/>
      <c r="S649" s="8"/>
      <c r="T649" s="8"/>
      <c r="U649" s="8"/>
      <c r="V649" s="713"/>
      <c r="W649" s="713"/>
      <c r="X649" s="713"/>
      <c r="Y649" s="713"/>
      <c r="Z649" s="713"/>
      <c r="AA649" s="713"/>
      <c r="AB649" s="713"/>
      <c r="AC649" s="713"/>
      <c r="AD649" s="713"/>
      <c r="AE649" s="713"/>
      <c r="AF649" s="713"/>
      <c r="AG649" s="713"/>
      <c r="AH649" s="713"/>
      <c r="AI649" s="713"/>
      <c r="AJ649" s="713"/>
      <c r="AK649" s="713"/>
      <c r="AL649" s="713"/>
      <c r="AM649" s="713"/>
      <c r="AN649" s="713"/>
      <c r="AO649" s="713"/>
      <c r="AP649" s="713"/>
      <c r="AQ649" s="715"/>
    </row>
    <row r="650" spans="1:43" s="707" customFormat="1" ht="12.75" customHeight="1" x14ac:dyDescent="0.25">
      <c r="A650" s="8"/>
      <c r="B650" s="8"/>
      <c r="C650" s="8"/>
      <c r="D650" s="8"/>
      <c r="E650" s="8"/>
      <c r="F650" s="8"/>
      <c r="G650" s="8"/>
      <c r="H650" s="8"/>
      <c r="I650" s="8"/>
      <c r="J650" s="1127"/>
      <c r="K650" s="1127"/>
      <c r="L650" s="1127"/>
      <c r="M650" s="1127"/>
      <c r="N650" s="1413"/>
      <c r="O650" s="1414"/>
      <c r="P650" s="1415"/>
      <c r="Q650" s="1416"/>
      <c r="R650" s="8"/>
      <c r="S650" s="8"/>
      <c r="T650" s="8"/>
      <c r="U650" s="8"/>
      <c r="V650" s="713"/>
      <c r="W650" s="713"/>
      <c r="X650" s="713"/>
      <c r="Y650" s="713"/>
      <c r="Z650" s="713"/>
      <c r="AA650" s="713"/>
      <c r="AB650" s="713"/>
      <c r="AC650" s="713"/>
      <c r="AD650" s="713"/>
      <c r="AE650" s="713"/>
      <c r="AF650" s="713"/>
      <c r="AG650" s="713"/>
      <c r="AH650" s="713"/>
      <c r="AI650" s="713"/>
      <c r="AJ650" s="713"/>
      <c r="AK650" s="713"/>
      <c r="AL650" s="713"/>
      <c r="AM650" s="713"/>
      <c r="AN650" s="713"/>
      <c r="AO650" s="713"/>
      <c r="AP650" s="713"/>
      <c r="AQ650" s="715"/>
    </row>
    <row r="651" spans="1:43" s="707" customFormat="1" ht="12.75" customHeight="1" x14ac:dyDescent="0.25">
      <c r="A651" s="8"/>
      <c r="B651" s="8"/>
      <c r="C651" s="11" t="s">
        <v>147</v>
      </c>
      <c r="D651" s="8"/>
      <c r="E651" s="8"/>
      <c r="F651" s="8"/>
      <c r="G651" s="8"/>
      <c r="H651" s="8"/>
      <c r="I651" s="8"/>
      <c r="J651" s="1127"/>
      <c r="K651" s="1127"/>
      <c r="L651" s="1127"/>
      <c r="M651" s="1127"/>
      <c r="N651" s="1413"/>
      <c r="O651" s="1414"/>
      <c r="P651" s="1415"/>
      <c r="Q651" s="1416"/>
      <c r="R651" s="8"/>
      <c r="S651" s="8"/>
      <c r="T651" s="8"/>
      <c r="U651" s="8"/>
      <c r="V651" s="713"/>
      <c r="W651" s="713"/>
      <c r="X651" s="713"/>
      <c r="Y651" s="713"/>
      <c r="Z651" s="713"/>
      <c r="AA651" s="713"/>
      <c r="AB651" s="713"/>
      <c r="AC651" s="713"/>
      <c r="AD651" s="713"/>
      <c r="AE651" s="713"/>
      <c r="AF651" s="713"/>
      <c r="AG651" s="713"/>
      <c r="AH651" s="713"/>
      <c r="AI651" s="713"/>
      <c r="AJ651" s="713"/>
      <c r="AK651" s="713"/>
      <c r="AL651" s="713"/>
      <c r="AM651" s="713"/>
      <c r="AN651" s="713"/>
      <c r="AO651" s="713"/>
      <c r="AP651" s="713"/>
      <c r="AQ651" s="715"/>
    </row>
    <row r="652" spans="1:43" s="707" customFormat="1" ht="12.75" customHeight="1" x14ac:dyDescent="0.25">
      <c r="A652" s="8"/>
      <c r="B652" s="8"/>
      <c r="C652" s="8"/>
      <c r="D652" s="11" t="s">
        <v>245</v>
      </c>
      <c r="E652" s="11"/>
      <c r="F652" s="11"/>
      <c r="G652" s="11"/>
      <c r="H652" s="11"/>
      <c r="I652" s="8"/>
      <c r="J652" s="1128"/>
      <c r="K652" s="1128"/>
      <c r="L652" s="1128"/>
      <c r="M652" s="1128"/>
      <c r="N652" s="1995"/>
      <c r="O652" s="2019"/>
      <c r="P652" s="1987">
        <v>0</v>
      </c>
      <c r="Q652" s="1988"/>
      <c r="R652" s="8"/>
      <c r="S652" s="8"/>
      <c r="T652" s="8"/>
      <c r="U652" s="8"/>
      <c r="V652" s="713"/>
      <c r="W652" s="713"/>
      <c r="X652" s="713"/>
      <c r="Y652" s="713"/>
      <c r="Z652" s="713"/>
      <c r="AA652" s="713"/>
      <c r="AB652" s="713"/>
      <c r="AC652" s="713"/>
      <c r="AD652" s="713"/>
      <c r="AE652" s="713"/>
      <c r="AF652" s="713"/>
      <c r="AG652" s="713"/>
      <c r="AH652" s="713"/>
      <c r="AI652" s="713"/>
      <c r="AJ652" s="713"/>
      <c r="AK652" s="713"/>
      <c r="AL652" s="713"/>
      <c r="AM652" s="713"/>
      <c r="AN652" s="713"/>
      <c r="AO652" s="713"/>
      <c r="AP652" s="713"/>
      <c r="AQ652" s="715"/>
    </row>
    <row r="653" spans="1:43" s="707" customFormat="1" ht="12.75" customHeight="1" x14ac:dyDescent="0.25">
      <c r="A653" s="8"/>
      <c r="B653" s="8"/>
      <c r="C653" s="8"/>
      <c r="D653" s="8" t="s">
        <v>306</v>
      </c>
      <c r="E653" s="8"/>
      <c r="F653" s="8"/>
      <c r="G653" s="8"/>
      <c r="H653" s="8"/>
      <c r="I653" s="8"/>
      <c r="J653" s="1127" t="s">
        <v>154</v>
      </c>
      <c r="K653" s="1127"/>
      <c r="L653" s="1127"/>
      <c r="M653" s="1127"/>
      <c r="N653" s="1995">
        <v>0</v>
      </c>
      <c r="O653" s="1996"/>
      <c r="P653" s="1993">
        <v>0</v>
      </c>
      <c r="Q653" s="1994"/>
      <c r="R653" s="8"/>
      <c r="S653" s="8"/>
      <c r="T653" s="8"/>
      <c r="U653" s="8"/>
      <c r="V653" s="713"/>
      <c r="W653" s="713"/>
      <c r="X653" s="713"/>
      <c r="Y653" s="713"/>
      <c r="Z653" s="713"/>
      <c r="AA653" s="713"/>
      <c r="AB653" s="713"/>
      <c r="AC653" s="713"/>
      <c r="AD653" s="713"/>
      <c r="AE653" s="713"/>
      <c r="AF653" s="713"/>
      <c r="AG653" s="713"/>
      <c r="AH653" s="713"/>
      <c r="AI653" s="713"/>
      <c r="AJ653" s="713"/>
      <c r="AK653" s="713"/>
      <c r="AL653" s="713"/>
      <c r="AM653" s="713"/>
      <c r="AN653" s="713"/>
      <c r="AO653" s="713"/>
      <c r="AP653" s="713"/>
      <c r="AQ653" s="715"/>
    </row>
    <row r="654" spans="1:43" s="707" customFormat="1" ht="12.75" customHeight="1" x14ac:dyDescent="0.25">
      <c r="A654" s="8"/>
      <c r="B654" s="8"/>
      <c r="C654" s="8"/>
      <c r="D654" s="8" t="s">
        <v>305</v>
      </c>
      <c r="E654" s="8"/>
      <c r="F654" s="8"/>
      <c r="G654" s="8"/>
      <c r="H654" s="8"/>
      <c r="I654" s="8"/>
      <c r="J654" s="1127" t="s">
        <v>154</v>
      </c>
      <c r="K654" s="1127"/>
      <c r="L654" s="1127"/>
      <c r="M654" s="1127"/>
      <c r="N654" s="1995">
        <v>0</v>
      </c>
      <c r="O654" s="1996"/>
      <c r="P654" s="1993">
        <v>0</v>
      </c>
      <c r="Q654" s="1994"/>
      <c r="R654" s="8"/>
      <c r="S654" s="8"/>
      <c r="T654" s="8"/>
      <c r="U654" s="8"/>
      <c r="V654" s="713"/>
      <c r="W654" s="713"/>
      <c r="X654" s="713"/>
      <c r="Y654" s="713"/>
      <c r="Z654" s="713"/>
      <c r="AA654" s="713"/>
      <c r="AB654" s="713"/>
      <c r="AC654" s="713"/>
      <c r="AD654" s="713"/>
      <c r="AE654" s="713"/>
      <c r="AF654" s="713"/>
      <c r="AG654" s="713"/>
      <c r="AH654" s="713"/>
      <c r="AI654" s="713"/>
      <c r="AJ654" s="713"/>
      <c r="AK654" s="713"/>
      <c r="AL654" s="713"/>
      <c r="AM654" s="713"/>
      <c r="AN654" s="713"/>
      <c r="AO654" s="713"/>
      <c r="AP654" s="713"/>
      <c r="AQ654" s="715"/>
    </row>
    <row r="655" spans="1:43" s="707" customFormat="1" ht="12.75" customHeight="1" x14ac:dyDescent="0.25">
      <c r="A655" s="8"/>
      <c r="B655" s="8"/>
      <c r="C655" s="8"/>
      <c r="D655" s="1634" t="s">
        <v>534</v>
      </c>
      <c r="E655" s="1634"/>
      <c r="F655" s="1634"/>
      <c r="G655" s="1634"/>
      <c r="H655" s="1634"/>
      <c r="I655" s="1634"/>
      <c r="J655" s="1127" t="s">
        <v>154</v>
      </c>
      <c r="K655" s="1127"/>
      <c r="L655" s="1127"/>
      <c r="M655" s="1127"/>
      <c r="N655" s="1995">
        <v>0</v>
      </c>
      <c r="O655" s="1996"/>
      <c r="P655" s="1993">
        <v>0</v>
      </c>
      <c r="Q655" s="1994"/>
      <c r="R655" s="29"/>
      <c r="S655" s="8"/>
      <c r="T655" s="8"/>
      <c r="U655" s="8"/>
      <c r="V655" s="713"/>
      <c r="W655" s="713"/>
      <c r="X655" s="713"/>
      <c r="Y655" s="713"/>
      <c r="Z655" s="713"/>
      <c r="AA655" s="713"/>
      <c r="AB655" s="713"/>
      <c r="AC655" s="713"/>
      <c r="AD655" s="713"/>
      <c r="AE655" s="713"/>
      <c r="AF655" s="713"/>
      <c r="AG655" s="713"/>
      <c r="AH655" s="713"/>
      <c r="AI655" s="713"/>
      <c r="AJ655" s="713"/>
      <c r="AK655" s="713"/>
      <c r="AL655" s="713"/>
      <c r="AM655" s="713"/>
      <c r="AN655" s="713"/>
      <c r="AO655" s="713"/>
      <c r="AP655" s="713"/>
      <c r="AQ655" s="715"/>
    </row>
    <row r="656" spans="1:43" s="707" customFormat="1" ht="12.75" customHeight="1" x14ac:dyDescent="0.25">
      <c r="A656" s="756"/>
      <c r="B656" s="8"/>
      <c r="C656" s="8"/>
      <c r="D656" s="1634" t="s">
        <v>535</v>
      </c>
      <c r="E656" s="1634"/>
      <c r="F656" s="1634"/>
      <c r="G656" s="1634"/>
      <c r="H656" s="1634"/>
      <c r="I656" s="1634"/>
      <c r="J656" s="1127" t="s">
        <v>154</v>
      </c>
      <c r="K656" s="1127"/>
      <c r="L656" s="1127"/>
      <c r="M656" s="1127"/>
      <c r="N656" s="1995"/>
      <c r="O656" s="1996"/>
      <c r="P656" s="1993">
        <v>0</v>
      </c>
      <c r="Q656" s="1994"/>
      <c r="R656" s="8"/>
      <c r="S656" s="8"/>
      <c r="T656" s="8"/>
      <c r="U656" s="8"/>
      <c r="V656" s="713"/>
      <c r="W656" s="713"/>
      <c r="X656" s="713"/>
      <c r="Y656" s="713"/>
      <c r="Z656" s="713"/>
      <c r="AA656" s="713"/>
      <c r="AB656" s="713"/>
      <c r="AC656" s="713"/>
      <c r="AD656" s="713"/>
      <c r="AE656" s="713"/>
      <c r="AF656" s="713"/>
      <c r="AG656" s="713"/>
      <c r="AH656" s="713"/>
      <c r="AI656" s="713"/>
      <c r="AJ656" s="713"/>
      <c r="AK656" s="713"/>
      <c r="AL656" s="713"/>
      <c r="AM656" s="713"/>
      <c r="AN656" s="713"/>
      <c r="AO656" s="713"/>
      <c r="AP656" s="713"/>
      <c r="AQ656" s="715"/>
    </row>
    <row r="657" spans="1:45" s="707" customFormat="1" ht="12.75" customHeight="1" x14ac:dyDescent="0.25">
      <c r="A657" s="8"/>
      <c r="B657" s="8"/>
      <c r="C657" s="8"/>
      <c r="D657" s="8"/>
      <c r="E657" s="8"/>
      <c r="F657" s="8"/>
      <c r="G657" s="8"/>
      <c r="H657" s="8"/>
      <c r="I657" s="8"/>
      <c r="J657" s="1127"/>
      <c r="K657" s="1127"/>
      <c r="L657" s="1127"/>
      <c r="M657" s="1127"/>
      <c r="N657" s="1413"/>
      <c r="O657" s="1414"/>
      <c r="P657" s="1415"/>
      <c r="Q657" s="1416"/>
      <c r="R657" s="8"/>
      <c r="S657" s="8"/>
      <c r="T657" s="8"/>
      <c r="U657" s="8"/>
      <c r="V657" s="713"/>
      <c r="W657" s="713"/>
      <c r="X657" s="713"/>
      <c r="Y657" s="713"/>
      <c r="Z657" s="713"/>
      <c r="AA657" s="713"/>
      <c r="AB657" s="713"/>
      <c r="AC657" s="713"/>
      <c r="AD657" s="713"/>
      <c r="AE657" s="713"/>
      <c r="AF657" s="713"/>
      <c r="AG657" s="713"/>
      <c r="AH657" s="713"/>
      <c r="AI657" s="713"/>
      <c r="AJ657" s="713"/>
      <c r="AK657" s="713"/>
      <c r="AL657" s="713"/>
      <c r="AM657" s="713"/>
      <c r="AN657" s="713"/>
      <c r="AO657" s="713"/>
      <c r="AP657" s="713"/>
      <c r="AQ657" s="715"/>
    </row>
    <row r="658" spans="1:45" s="707" customFormat="1" ht="12.75" customHeight="1" x14ac:dyDescent="0.25">
      <c r="A658" s="8"/>
      <c r="B658" s="8"/>
      <c r="C658" s="11" t="s">
        <v>186</v>
      </c>
      <c r="D658" s="11"/>
      <c r="E658" s="11"/>
      <c r="F658" s="11"/>
      <c r="G658" s="11"/>
      <c r="H658" s="11"/>
      <c r="I658" s="8"/>
      <c r="J658" s="747"/>
      <c r="K658" s="747"/>
      <c r="L658" s="747"/>
      <c r="M658" s="747"/>
      <c r="N658" s="1989"/>
      <c r="O658" s="1990"/>
      <c r="P658" s="1991"/>
      <c r="Q658" s="1992"/>
      <c r="R658" s="8"/>
      <c r="S658" s="8"/>
      <c r="T658" s="8"/>
      <c r="U658" s="8"/>
      <c r="V658" s="713"/>
      <c r="W658" s="713"/>
      <c r="X658" s="713"/>
      <c r="Y658" s="713"/>
      <c r="Z658" s="713"/>
      <c r="AA658" s="713"/>
      <c r="AB658" s="713"/>
      <c r="AC658" s="713"/>
      <c r="AD658" s="713"/>
      <c r="AE658" s="713"/>
      <c r="AF658" s="713"/>
      <c r="AG658" s="713"/>
      <c r="AH658" s="713"/>
      <c r="AI658" s="713"/>
      <c r="AJ658" s="713"/>
      <c r="AK658" s="713"/>
      <c r="AL658" s="713"/>
      <c r="AM658" s="713"/>
      <c r="AN658" s="713"/>
      <c r="AO658" s="713"/>
      <c r="AP658" s="713"/>
      <c r="AQ658" s="715"/>
    </row>
    <row r="659" spans="1:45" s="707" customFormat="1" ht="12.75" customHeight="1" x14ac:dyDescent="0.25">
      <c r="A659" s="8"/>
      <c r="B659" s="8"/>
      <c r="C659" s="8"/>
      <c r="D659" s="8" t="s">
        <v>472</v>
      </c>
      <c r="E659" s="8"/>
      <c r="F659" s="8"/>
      <c r="G659" s="8"/>
      <c r="H659" s="8"/>
      <c r="I659" s="8"/>
      <c r="J659" s="1127" t="s">
        <v>614</v>
      </c>
      <c r="K659" s="1127"/>
      <c r="L659" s="1127"/>
      <c r="M659" s="1127"/>
      <c r="N659" s="2001">
        <v>0</v>
      </c>
      <c r="O659" s="2002"/>
      <c r="P659" s="2003">
        <v>0</v>
      </c>
      <c r="Q659" s="2004"/>
      <c r="R659" s="8"/>
      <c r="S659" s="8"/>
      <c r="T659" s="8"/>
      <c r="U659" s="8"/>
      <c r="V659" s="713"/>
      <c r="W659" s="713"/>
      <c r="X659" s="713"/>
      <c r="Y659" s="713"/>
      <c r="Z659" s="713"/>
      <c r="AA659" s="713"/>
      <c r="AB659" s="713"/>
      <c r="AC659" s="713"/>
      <c r="AD659" s="713"/>
      <c r="AE659" s="713"/>
      <c r="AF659" s="713"/>
      <c r="AG659" s="713"/>
      <c r="AH659" s="713"/>
      <c r="AI659" s="713"/>
      <c r="AJ659" s="713"/>
      <c r="AK659" s="713"/>
      <c r="AL659" s="713"/>
      <c r="AM659" s="713"/>
      <c r="AN659" s="713"/>
      <c r="AO659" s="713"/>
      <c r="AP659" s="713"/>
      <c r="AQ659" s="715"/>
    </row>
    <row r="660" spans="1:45" s="707" customFormat="1" ht="12.75" customHeight="1" x14ac:dyDescent="0.25">
      <c r="A660" s="8"/>
      <c r="B660" s="8"/>
      <c r="C660" s="8"/>
      <c r="D660" s="8" t="s">
        <v>473</v>
      </c>
      <c r="E660" s="8"/>
      <c r="F660" s="8"/>
      <c r="G660" s="8"/>
      <c r="H660" s="8"/>
      <c r="I660" s="8"/>
      <c r="J660" s="1127" t="s">
        <v>16</v>
      </c>
      <c r="K660" s="1127"/>
      <c r="L660" s="1127"/>
      <c r="M660" s="1127"/>
      <c r="N660" s="1417"/>
      <c r="O660" s="1414"/>
      <c r="P660" s="2017">
        <v>0</v>
      </c>
      <c r="Q660" s="2018"/>
      <c r="R660" s="8"/>
      <c r="S660" s="8"/>
      <c r="T660" s="8"/>
      <c r="U660" s="8"/>
      <c r="V660" s="713"/>
      <c r="W660" s="713"/>
      <c r="X660" s="713"/>
      <c r="Y660" s="713"/>
      <c r="Z660" s="713"/>
      <c r="AA660" s="713"/>
      <c r="AB660" s="713"/>
      <c r="AC660" s="713"/>
      <c r="AD660" s="713"/>
      <c r="AE660" s="713"/>
      <c r="AF660" s="713"/>
      <c r="AG660" s="713"/>
      <c r="AH660" s="713"/>
      <c r="AI660" s="713"/>
      <c r="AJ660" s="713"/>
      <c r="AK660" s="713"/>
      <c r="AL660" s="713"/>
      <c r="AM660" s="713"/>
      <c r="AN660" s="713"/>
      <c r="AO660" s="713"/>
      <c r="AP660" s="713"/>
      <c r="AQ660" s="715"/>
    </row>
    <row r="661" spans="1:45" s="707" customFormat="1" ht="12.75" customHeight="1" x14ac:dyDescent="0.25">
      <c r="A661" s="8"/>
      <c r="B661" s="8"/>
      <c r="C661" s="8"/>
      <c r="D661" s="8" t="s">
        <v>276</v>
      </c>
      <c r="E661" s="8"/>
      <c r="F661" s="8"/>
      <c r="G661" s="8"/>
      <c r="H661" s="8"/>
      <c r="I661" s="8"/>
      <c r="J661" s="1127" t="s">
        <v>614</v>
      </c>
      <c r="K661" s="1127"/>
      <c r="L661" s="1127"/>
      <c r="M661" s="1127"/>
      <c r="N661" s="2001">
        <v>0</v>
      </c>
      <c r="O661" s="2002"/>
      <c r="P661" s="2003">
        <v>0</v>
      </c>
      <c r="Q661" s="2004"/>
      <c r="R661" s="8"/>
      <c r="S661" s="8"/>
      <c r="T661" s="8"/>
      <c r="U661" s="8"/>
      <c r="V661" s="713"/>
      <c r="W661" s="713"/>
      <c r="X661" s="713"/>
      <c r="Y661" s="713"/>
      <c r="Z661" s="713"/>
      <c r="AA661" s="713"/>
      <c r="AB661" s="713"/>
      <c r="AC661" s="713"/>
      <c r="AD661" s="713"/>
      <c r="AE661" s="713"/>
      <c r="AF661" s="713"/>
      <c r="AG661" s="713"/>
      <c r="AH661" s="713"/>
      <c r="AI661" s="713"/>
      <c r="AJ661" s="713"/>
      <c r="AK661" s="713"/>
      <c r="AL661" s="713"/>
      <c r="AM661" s="713"/>
      <c r="AN661" s="713"/>
      <c r="AO661" s="713"/>
      <c r="AP661" s="713"/>
      <c r="AQ661" s="715"/>
    </row>
    <row r="662" spans="1:45" s="707" customFormat="1" ht="12.75" customHeight="1" x14ac:dyDescent="0.25">
      <c r="A662" s="8"/>
      <c r="B662" s="8"/>
      <c r="C662" s="8"/>
      <c r="D662" s="8" t="s">
        <v>307</v>
      </c>
      <c r="E662" s="8"/>
      <c r="F662" s="8"/>
      <c r="G662" s="8"/>
      <c r="H662" s="8"/>
      <c r="I662" s="8"/>
      <c r="J662" s="1127" t="s">
        <v>614</v>
      </c>
      <c r="K662" s="1127"/>
      <c r="L662" s="1127"/>
      <c r="M662" s="1127"/>
      <c r="N662" s="2001">
        <v>0</v>
      </c>
      <c r="O662" s="2002"/>
      <c r="P662" s="2003">
        <v>0</v>
      </c>
      <c r="Q662" s="2004"/>
      <c r="R662" s="8"/>
      <c r="S662" s="8"/>
      <c r="T662" s="8"/>
      <c r="U662" s="8"/>
      <c r="V662" s="713"/>
      <c r="W662" s="713"/>
      <c r="X662" s="713"/>
      <c r="Y662" s="713"/>
      <c r="Z662" s="713"/>
      <c r="AA662" s="713"/>
      <c r="AB662" s="713"/>
      <c r="AC662" s="713"/>
      <c r="AD662" s="713"/>
      <c r="AE662" s="713"/>
      <c r="AF662" s="713"/>
      <c r="AG662" s="713"/>
      <c r="AH662" s="713"/>
      <c r="AI662" s="713"/>
      <c r="AJ662" s="713"/>
      <c r="AK662" s="713"/>
      <c r="AL662" s="713"/>
      <c r="AM662" s="713"/>
      <c r="AN662" s="713"/>
      <c r="AO662" s="713"/>
      <c r="AP662" s="713"/>
      <c r="AQ662" s="715"/>
    </row>
    <row r="663" spans="1:45" s="707" customFormat="1" ht="12.75" customHeight="1" x14ac:dyDescent="0.25">
      <c r="A663" s="8"/>
      <c r="B663" s="8"/>
      <c r="C663" s="8"/>
      <c r="D663" s="8"/>
      <c r="E663" s="8"/>
      <c r="F663" s="8"/>
      <c r="G663" s="8"/>
      <c r="H663" s="8"/>
      <c r="I663" s="8"/>
      <c r="J663" s="1127"/>
      <c r="K663" s="1127"/>
      <c r="L663" s="1127"/>
      <c r="M663" s="1127"/>
      <c r="N663" s="1417"/>
      <c r="O663" s="1418"/>
      <c r="P663" s="1419"/>
      <c r="Q663" s="1420"/>
      <c r="R663" s="8"/>
      <c r="S663" s="8"/>
      <c r="T663" s="8"/>
      <c r="U663" s="8"/>
      <c r="V663" s="713"/>
      <c r="W663" s="713"/>
      <c r="X663" s="713"/>
      <c r="Y663" s="713"/>
      <c r="Z663" s="713"/>
      <c r="AA663" s="713"/>
      <c r="AB663" s="713"/>
      <c r="AC663" s="713"/>
      <c r="AD663" s="713"/>
      <c r="AE663" s="713"/>
      <c r="AF663" s="713"/>
      <c r="AG663" s="713"/>
      <c r="AH663" s="713"/>
      <c r="AI663" s="713"/>
      <c r="AJ663" s="713"/>
      <c r="AK663" s="713"/>
      <c r="AL663" s="713"/>
      <c r="AM663" s="713"/>
      <c r="AN663" s="713"/>
      <c r="AO663" s="713"/>
      <c r="AP663" s="713"/>
      <c r="AQ663" s="715"/>
    </row>
    <row r="664" spans="1:45" s="707" customFormat="1" ht="12.75" customHeight="1" x14ac:dyDescent="0.25">
      <c r="A664" s="8"/>
      <c r="B664" s="8"/>
      <c r="C664" s="11" t="s">
        <v>148</v>
      </c>
      <c r="D664" s="11"/>
      <c r="E664" s="11"/>
      <c r="F664" s="11"/>
      <c r="G664" s="11"/>
      <c r="H664" s="11"/>
      <c r="I664" s="8"/>
      <c r="J664" s="747"/>
      <c r="K664" s="747"/>
      <c r="L664" s="747"/>
      <c r="M664" s="747"/>
      <c r="N664" s="1989"/>
      <c r="O664" s="1990"/>
      <c r="P664" s="1991"/>
      <c r="Q664" s="1992"/>
      <c r="R664" s="8"/>
      <c r="S664" s="8"/>
      <c r="T664" s="8"/>
      <c r="U664" s="8"/>
      <c r="V664" s="713"/>
      <c r="W664" s="713"/>
      <c r="X664" s="713"/>
      <c r="Y664" s="713"/>
      <c r="Z664" s="713"/>
      <c r="AA664" s="713"/>
      <c r="AB664" s="713"/>
      <c r="AC664" s="713"/>
      <c r="AD664" s="713"/>
      <c r="AE664" s="713"/>
      <c r="AF664" s="713"/>
      <c r="AG664" s="713"/>
      <c r="AH664" s="713"/>
      <c r="AI664" s="713"/>
      <c r="AJ664" s="713"/>
      <c r="AK664" s="713"/>
      <c r="AL664" s="713"/>
      <c r="AM664" s="713"/>
      <c r="AN664" s="713"/>
      <c r="AO664" s="713"/>
      <c r="AP664" s="713"/>
      <c r="AQ664" s="715"/>
    </row>
    <row r="665" spans="1:45" s="711" customFormat="1" ht="12.75" customHeight="1" x14ac:dyDescent="0.25">
      <c r="A665" s="710"/>
      <c r="B665" s="8"/>
      <c r="C665" s="8"/>
      <c r="D665" s="8"/>
      <c r="E665" s="1411" t="s">
        <v>629</v>
      </c>
      <c r="F665" s="8"/>
      <c r="G665" s="8"/>
      <c r="H665" s="8"/>
      <c r="I665" s="8"/>
      <c r="J665" s="1409" t="s">
        <v>617</v>
      </c>
      <c r="K665" s="1409"/>
      <c r="L665" s="1409"/>
      <c r="M665" s="1409"/>
      <c r="N665" s="1967">
        <v>0</v>
      </c>
      <c r="O665" s="1968"/>
      <c r="P665" s="1969">
        <v>0</v>
      </c>
      <c r="Q665" s="1970"/>
      <c r="R665" s="8"/>
      <c r="S665" s="8"/>
      <c r="T665" s="8"/>
      <c r="U665" s="8"/>
      <c r="V665" s="713"/>
      <c r="W665" s="713"/>
      <c r="X665" s="713"/>
      <c r="Y665" s="713"/>
      <c r="Z665" s="713"/>
      <c r="AA665" s="713"/>
      <c r="AB665" s="713"/>
      <c r="AC665" s="713"/>
      <c r="AD665" s="713"/>
      <c r="AE665" s="713"/>
      <c r="AF665" s="713"/>
      <c r="AG665" s="713"/>
      <c r="AH665" s="713"/>
      <c r="AI665" s="713"/>
      <c r="AJ665" s="713"/>
      <c r="AK665" s="713"/>
      <c r="AL665" s="713"/>
      <c r="AM665" s="713"/>
      <c r="AN665" s="713"/>
      <c r="AO665" s="713"/>
      <c r="AP665" s="714"/>
      <c r="AQ665" s="715"/>
      <c r="AR665" s="707"/>
      <c r="AS665" s="707"/>
    </row>
    <row r="666" spans="1:45" s="711" customFormat="1" ht="12.75" customHeight="1" x14ac:dyDescent="0.25">
      <c r="A666" s="710"/>
      <c r="B666" s="8"/>
      <c r="C666" s="8"/>
      <c r="D666" s="8"/>
      <c r="E666" s="1411" t="s">
        <v>630</v>
      </c>
      <c r="F666" s="8"/>
      <c r="G666" s="8"/>
      <c r="H666" s="8"/>
      <c r="I666" s="8"/>
      <c r="J666" s="1409" t="s">
        <v>617</v>
      </c>
      <c r="K666" s="1409"/>
      <c r="L666" s="1409"/>
      <c r="M666" s="1409"/>
      <c r="N666" s="1967">
        <v>0</v>
      </c>
      <c r="O666" s="1968"/>
      <c r="P666" s="1969">
        <v>0</v>
      </c>
      <c r="Q666" s="1970"/>
      <c r="R666" s="8"/>
      <c r="S666" s="8"/>
      <c r="T666" s="8"/>
      <c r="U666" s="8"/>
      <c r="V666" s="713"/>
      <c r="W666" s="713"/>
      <c r="X666" s="713"/>
      <c r="Y666" s="713"/>
      <c r="Z666" s="713"/>
      <c r="AA666" s="713"/>
      <c r="AB666" s="713"/>
      <c r="AC666" s="713"/>
      <c r="AD666" s="713"/>
      <c r="AE666" s="713"/>
      <c r="AF666" s="713"/>
      <c r="AG666" s="713"/>
      <c r="AH666" s="713"/>
      <c r="AI666" s="713"/>
      <c r="AJ666" s="713"/>
      <c r="AK666" s="713"/>
      <c r="AL666" s="713"/>
      <c r="AM666" s="713"/>
      <c r="AN666" s="713"/>
      <c r="AO666" s="713"/>
      <c r="AP666" s="714"/>
      <c r="AQ666" s="715"/>
      <c r="AR666" s="707"/>
      <c r="AS666" s="707"/>
    </row>
    <row r="667" spans="1:45" s="711" customFormat="1" ht="12.75" customHeight="1" x14ac:dyDescent="0.25">
      <c r="A667" s="710"/>
      <c r="B667" s="8"/>
      <c r="C667" s="8"/>
      <c r="D667" s="8"/>
      <c r="E667" s="1411" t="s">
        <v>631</v>
      </c>
      <c r="F667" s="8"/>
      <c r="G667" s="8"/>
      <c r="H667" s="8"/>
      <c r="I667" s="8"/>
      <c r="J667" s="1409" t="s">
        <v>617</v>
      </c>
      <c r="K667" s="1409"/>
      <c r="L667" s="1409"/>
      <c r="M667" s="1409"/>
      <c r="N667" s="1967">
        <v>0</v>
      </c>
      <c r="O667" s="1968"/>
      <c r="P667" s="1969">
        <v>0</v>
      </c>
      <c r="Q667" s="1970"/>
      <c r="R667" s="8"/>
      <c r="S667" s="8"/>
      <c r="T667" s="8"/>
      <c r="U667" s="8"/>
      <c r="V667" s="713"/>
      <c r="W667" s="713"/>
      <c r="X667" s="713"/>
      <c r="Y667" s="713"/>
      <c r="Z667" s="713"/>
      <c r="AA667" s="713"/>
      <c r="AB667" s="713"/>
      <c r="AC667" s="713"/>
      <c r="AD667" s="713"/>
      <c r="AE667" s="713"/>
      <c r="AF667" s="713"/>
      <c r="AG667" s="713"/>
      <c r="AH667" s="713"/>
      <c r="AI667" s="713"/>
      <c r="AJ667" s="713"/>
      <c r="AK667" s="713"/>
      <c r="AL667" s="713"/>
      <c r="AM667" s="713"/>
      <c r="AN667" s="713"/>
      <c r="AO667" s="713"/>
      <c r="AP667" s="714"/>
      <c r="AQ667" s="715"/>
      <c r="AR667" s="707"/>
      <c r="AS667" s="707"/>
    </row>
    <row r="668" spans="1:45" s="711" customFormat="1" ht="12.75" customHeight="1" x14ac:dyDescent="0.25">
      <c r="A668" s="710"/>
      <c r="B668" s="11"/>
      <c r="C668" s="11"/>
      <c r="D668" s="11" t="s">
        <v>632</v>
      </c>
      <c r="E668" s="11"/>
      <c r="F668" s="11"/>
      <c r="G668" s="11"/>
      <c r="H668" s="11"/>
      <c r="I668" s="11"/>
      <c r="J668" s="1410" t="s">
        <v>617</v>
      </c>
      <c r="K668" s="1410"/>
      <c r="L668" s="1410"/>
      <c r="M668" s="1410"/>
      <c r="N668" s="1971">
        <v>0</v>
      </c>
      <c r="O668" s="1972"/>
      <c r="P668" s="1973">
        <v>0</v>
      </c>
      <c r="Q668" s="1974"/>
      <c r="R668" s="11"/>
      <c r="S668" s="11"/>
      <c r="T668" s="11"/>
      <c r="U668" s="11"/>
      <c r="V668" s="714"/>
      <c r="W668" s="714"/>
      <c r="X668" s="714"/>
      <c r="Y668" s="714"/>
      <c r="Z668" s="714"/>
      <c r="AA668" s="714"/>
      <c r="AB668" s="714"/>
      <c r="AC668" s="714"/>
      <c r="AD668" s="714"/>
      <c r="AE668" s="714"/>
      <c r="AF668" s="714"/>
      <c r="AG668" s="714"/>
      <c r="AH668" s="714"/>
      <c r="AI668" s="714"/>
      <c r="AJ668" s="714"/>
      <c r="AK668" s="714"/>
      <c r="AL668" s="714"/>
      <c r="AM668" s="714"/>
      <c r="AN668" s="714"/>
      <c r="AO668" s="714"/>
      <c r="AP668" s="714"/>
      <c r="AQ668" s="1412"/>
    </row>
    <row r="669" spans="1:45" s="711" customFormat="1" ht="12.75" customHeight="1" x14ac:dyDescent="0.25">
      <c r="A669" s="710"/>
      <c r="B669" s="8"/>
      <c r="C669" s="8"/>
      <c r="D669" s="8" t="s">
        <v>628</v>
      </c>
      <c r="E669" s="8"/>
      <c r="F669" s="8"/>
      <c r="G669" s="8"/>
      <c r="H669" s="8"/>
      <c r="I669" s="8"/>
      <c r="J669" s="1409" t="s">
        <v>16</v>
      </c>
      <c r="K669" s="1409"/>
      <c r="L669" s="1409"/>
      <c r="M669" s="1409"/>
      <c r="N669" s="1421"/>
      <c r="O669" s="1422"/>
      <c r="P669" s="2024">
        <v>0</v>
      </c>
      <c r="Q669" s="2025"/>
      <c r="R669" s="8"/>
      <c r="S669" s="8"/>
      <c r="T669" s="8"/>
      <c r="U669" s="8"/>
      <c r="V669" s="713"/>
      <c r="W669" s="713"/>
      <c r="X669" s="713"/>
      <c r="Y669" s="713"/>
      <c r="Z669" s="713"/>
      <c r="AA669" s="713"/>
      <c r="AB669" s="713"/>
      <c r="AC669" s="713"/>
      <c r="AD669" s="713"/>
      <c r="AE669" s="713"/>
      <c r="AF669" s="713"/>
      <c r="AG669" s="713"/>
      <c r="AH669" s="713"/>
      <c r="AI669" s="713"/>
      <c r="AJ669" s="713"/>
      <c r="AK669" s="713"/>
      <c r="AL669" s="713"/>
      <c r="AM669" s="713"/>
      <c r="AN669" s="713"/>
      <c r="AO669" s="713"/>
      <c r="AP669" s="714"/>
      <c r="AQ669" s="715"/>
      <c r="AR669" s="707"/>
      <c r="AS669" s="707"/>
    </row>
    <row r="670" spans="1:45" s="707" customFormat="1" ht="12.75" customHeight="1" x14ac:dyDescent="0.25">
      <c r="A670" s="8"/>
      <c r="B670" s="8"/>
      <c r="C670" s="8"/>
      <c r="D670" s="1634" t="s">
        <v>536</v>
      </c>
      <c r="E670" s="1634"/>
      <c r="F670" s="1634"/>
      <c r="G670" s="1634"/>
      <c r="H670" s="1634"/>
      <c r="I670" s="1634"/>
      <c r="J670" s="1127" t="s">
        <v>366</v>
      </c>
      <c r="K670" s="1127"/>
      <c r="L670" s="1127"/>
      <c r="M670" s="1127"/>
      <c r="N670" s="2020">
        <v>0</v>
      </c>
      <c r="O670" s="2021"/>
      <c r="P670" s="2022">
        <v>0</v>
      </c>
      <c r="Q670" s="2023"/>
      <c r="R670" s="8"/>
      <c r="S670" s="8"/>
      <c r="T670" s="8"/>
      <c r="U670" s="8"/>
      <c r="V670" s="713"/>
      <c r="W670" s="713"/>
      <c r="X670" s="713"/>
      <c r="Y670" s="713"/>
      <c r="Z670" s="713"/>
      <c r="AA670" s="713"/>
      <c r="AB670" s="713"/>
      <c r="AC670" s="713"/>
      <c r="AD670" s="713"/>
      <c r="AE670" s="713"/>
      <c r="AF670" s="713"/>
      <c r="AG670" s="713"/>
      <c r="AH670" s="713"/>
      <c r="AI670" s="713"/>
      <c r="AJ670" s="713"/>
      <c r="AK670" s="713"/>
      <c r="AL670" s="713"/>
      <c r="AM670" s="713"/>
      <c r="AN670" s="713"/>
      <c r="AO670" s="713"/>
      <c r="AP670" s="713"/>
      <c r="AQ670" s="715"/>
    </row>
    <row r="671" spans="1:45" s="707" customFormat="1" ht="12.75" customHeight="1" x14ac:dyDescent="0.25">
      <c r="A671" s="8"/>
      <c r="B671" s="8"/>
      <c r="C671" s="8"/>
      <c r="D671" s="1129"/>
      <c r="E671" s="1129"/>
      <c r="F671" s="1129"/>
      <c r="G671" s="1129"/>
      <c r="H671" s="1129"/>
      <c r="I671" s="1129"/>
      <c r="J671" s="1127"/>
      <c r="K671" s="1127"/>
      <c r="L671" s="1127"/>
      <c r="M671" s="1127"/>
      <c r="N671" s="1160"/>
      <c r="O671" s="1160"/>
      <c r="P671" s="1161"/>
      <c r="Q671" s="1161"/>
      <c r="R671" s="8"/>
      <c r="S671" s="8"/>
      <c r="T671" s="8"/>
      <c r="U671" s="8"/>
      <c r="V671" s="713"/>
      <c r="W671" s="713"/>
      <c r="X671" s="713"/>
      <c r="Y671" s="713"/>
      <c r="Z671" s="713"/>
      <c r="AA671" s="713"/>
      <c r="AB671" s="713"/>
      <c r="AC671" s="713"/>
      <c r="AD671" s="713"/>
      <c r="AE671" s="713"/>
      <c r="AF671" s="713"/>
      <c r="AG671" s="713"/>
      <c r="AH671" s="713"/>
      <c r="AI671" s="713"/>
      <c r="AJ671" s="713"/>
      <c r="AK671" s="713"/>
      <c r="AL671" s="713"/>
      <c r="AM671" s="713"/>
      <c r="AN671" s="713"/>
      <c r="AO671" s="713"/>
      <c r="AP671" s="713"/>
      <c r="AQ671" s="715"/>
    </row>
    <row r="672" spans="1:45" s="707" customFormat="1" ht="12.75" customHeight="1" x14ac:dyDescent="0.25">
      <c r="A672" s="8"/>
      <c r="B672" s="8"/>
      <c r="C672" s="8"/>
      <c r="D672" s="1129"/>
      <c r="E672" s="1129"/>
      <c r="F672" s="1129"/>
      <c r="G672" s="1129"/>
      <c r="H672" s="1129"/>
      <c r="I672" s="1129"/>
      <c r="J672" s="1127"/>
      <c r="K672" s="1127"/>
      <c r="L672" s="1127"/>
      <c r="M672" s="1127"/>
      <c r="N672" s="1160"/>
      <c r="O672" s="1160"/>
      <c r="P672" s="1161"/>
      <c r="Q672" s="1161"/>
      <c r="R672" s="8"/>
      <c r="S672" s="8"/>
      <c r="T672" s="8"/>
      <c r="U672" s="8"/>
      <c r="V672" s="713"/>
      <c r="W672" s="713"/>
      <c r="X672" s="713"/>
      <c r="Y672" s="713"/>
      <c r="Z672" s="713"/>
      <c r="AA672" s="713"/>
      <c r="AB672" s="713"/>
      <c r="AC672" s="713"/>
      <c r="AD672" s="713"/>
      <c r="AE672" s="713"/>
      <c r="AF672" s="713"/>
      <c r="AG672" s="713"/>
      <c r="AH672" s="713"/>
      <c r="AI672" s="713"/>
      <c r="AJ672" s="713"/>
      <c r="AK672" s="713"/>
      <c r="AL672" s="713"/>
      <c r="AM672" s="713"/>
      <c r="AN672" s="713"/>
      <c r="AO672" s="713"/>
      <c r="AP672" s="713"/>
      <c r="AQ672" s="715"/>
    </row>
    <row r="673" spans="1:45" s="711" customFormat="1" ht="12.75" customHeight="1" x14ac:dyDescent="0.25">
      <c r="A673" s="710"/>
      <c r="B673" s="52" t="s">
        <v>593</v>
      </c>
      <c r="C673" s="21"/>
      <c r="D673" s="21"/>
      <c r="E673" s="21"/>
      <c r="F673" s="21"/>
      <c r="G673" s="21"/>
      <c r="H673" s="21"/>
      <c r="I673" s="21"/>
      <c r="J673" s="22"/>
      <c r="K673" s="22"/>
      <c r="L673" s="22"/>
      <c r="M673" s="22"/>
      <c r="N673" s="2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714"/>
      <c r="AQ673" s="715"/>
      <c r="AR673" s="707"/>
      <c r="AS673" s="707"/>
    </row>
    <row r="674" spans="1:45" s="711" customFormat="1" ht="12.75" customHeight="1" x14ac:dyDescent="0.25">
      <c r="A674" s="710"/>
      <c r="B674" s="707"/>
      <c r="C674" s="707"/>
      <c r="F674" s="712"/>
      <c r="G674" s="712"/>
      <c r="H674" s="712"/>
      <c r="I674" s="712"/>
      <c r="J674" s="713"/>
      <c r="K674" s="713"/>
      <c r="L674" s="713"/>
      <c r="M674" s="713"/>
      <c r="N674" s="713"/>
      <c r="O674" s="713"/>
      <c r="P674" s="713"/>
      <c r="Q674" s="713"/>
      <c r="R674" s="713"/>
      <c r="S674" s="713"/>
      <c r="T674" s="713"/>
      <c r="U674" s="713"/>
      <c r="V674" s="713"/>
      <c r="W674" s="713"/>
      <c r="X674" s="713"/>
      <c r="Y674" s="713"/>
      <c r="Z674" s="713"/>
      <c r="AA674" s="713"/>
      <c r="AB674" s="713"/>
      <c r="AC674" s="713"/>
      <c r="AD674" s="713"/>
      <c r="AE674" s="713"/>
      <c r="AF674" s="713"/>
      <c r="AG674" s="713"/>
      <c r="AH674" s="713"/>
      <c r="AI674" s="713"/>
      <c r="AJ674" s="713"/>
      <c r="AK674" s="713"/>
      <c r="AL674" s="713"/>
      <c r="AM674" s="713"/>
      <c r="AN674" s="713"/>
      <c r="AO674" s="713"/>
      <c r="AP674" s="714"/>
      <c r="AQ674" s="715"/>
      <c r="AR674" s="707"/>
      <c r="AS674" s="707"/>
    </row>
    <row r="675" spans="1:45" s="711" customFormat="1" ht="12.75" customHeight="1" x14ac:dyDescent="0.25">
      <c r="A675" s="710"/>
      <c r="B675" s="707"/>
      <c r="C675" s="2029" t="s">
        <v>613</v>
      </c>
      <c r="D675" s="2030"/>
      <c r="E675" s="2030"/>
      <c r="F675" s="2030"/>
      <c r="G675" s="2030"/>
      <c r="H675" s="2030"/>
      <c r="I675" s="2030"/>
      <c r="J675" s="2030"/>
      <c r="K675" s="2030"/>
      <c r="L675" s="2030"/>
      <c r="M675" s="2030"/>
      <c r="N675" s="2030"/>
      <c r="O675" s="2030"/>
      <c r="P675" s="2030"/>
      <c r="Q675" s="2031"/>
      <c r="R675" s="713"/>
      <c r="S675" s="713"/>
      <c r="T675" s="713"/>
      <c r="U675" s="713"/>
      <c r="V675" s="713"/>
      <c r="W675" s="713"/>
      <c r="X675" s="713"/>
      <c r="Y675" s="713"/>
      <c r="Z675" s="713"/>
      <c r="AA675" s="713"/>
      <c r="AB675" s="713"/>
      <c r="AC675" s="713"/>
      <c r="AD675" s="713"/>
      <c r="AE675" s="713"/>
      <c r="AF675" s="713"/>
      <c r="AG675" s="713"/>
      <c r="AH675" s="713"/>
      <c r="AI675" s="713"/>
      <c r="AJ675" s="713"/>
      <c r="AK675" s="713"/>
      <c r="AL675" s="713"/>
      <c r="AM675" s="713"/>
      <c r="AN675" s="713"/>
      <c r="AO675" s="713"/>
      <c r="AP675" s="714"/>
      <c r="AQ675" s="715"/>
      <c r="AR675" s="707"/>
      <c r="AS675" s="707"/>
    </row>
    <row r="676" spans="1:45" s="711" customFormat="1" ht="12.75" customHeight="1" x14ac:dyDescent="0.25">
      <c r="A676" s="710"/>
      <c r="B676" s="707"/>
      <c r="C676" s="2032"/>
      <c r="D676" s="2033"/>
      <c r="E676" s="2033"/>
      <c r="F676" s="2033"/>
      <c r="G676" s="2033"/>
      <c r="H676" s="2033"/>
      <c r="I676" s="2033"/>
      <c r="J676" s="2033"/>
      <c r="K676" s="2033"/>
      <c r="L676" s="2033"/>
      <c r="M676" s="2033"/>
      <c r="N676" s="2033"/>
      <c r="O676" s="2033"/>
      <c r="P676" s="2033"/>
      <c r="Q676" s="2034"/>
      <c r="R676" s="713"/>
      <c r="S676" s="713"/>
      <c r="T676" s="713"/>
      <c r="U676" s="713"/>
      <c r="V676" s="713"/>
      <c r="W676" s="713"/>
      <c r="X676" s="713"/>
      <c r="Y676" s="713"/>
      <c r="Z676" s="713"/>
      <c r="AA676" s="713"/>
      <c r="AB676" s="713"/>
      <c r="AC676" s="713"/>
      <c r="AD676" s="713"/>
      <c r="AE676" s="713"/>
      <c r="AF676" s="713"/>
      <c r="AG676" s="713"/>
      <c r="AH676" s="713"/>
      <c r="AI676" s="713"/>
      <c r="AJ676" s="713"/>
      <c r="AK676" s="713"/>
      <c r="AL676" s="713"/>
      <c r="AM676" s="713"/>
      <c r="AN676" s="713"/>
      <c r="AO676" s="713"/>
      <c r="AP676" s="714"/>
      <c r="AQ676" s="715"/>
      <c r="AR676" s="707"/>
      <c r="AS676" s="707"/>
    </row>
    <row r="677" spans="1:45" s="711" customFormat="1" ht="12.75" customHeight="1" x14ac:dyDescent="0.25">
      <c r="A677" s="710"/>
      <c r="B677" s="707"/>
      <c r="C677" s="2032"/>
      <c r="D677" s="2033"/>
      <c r="E677" s="2033"/>
      <c r="F677" s="2033"/>
      <c r="G677" s="2033"/>
      <c r="H677" s="2033"/>
      <c r="I677" s="2033"/>
      <c r="J677" s="2033"/>
      <c r="K677" s="2033"/>
      <c r="L677" s="2033"/>
      <c r="M677" s="2033"/>
      <c r="N677" s="2033"/>
      <c r="O677" s="2033"/>
      <c r="P677" s="2033"/>
      <c r="Q677" s="2034"/>
      <c r="R677" s="713"/>
      <c r="S677" s="713"/>
      <c r="T677" s="713"/>
      <c r="U677" s="713"/>
      <c r="V677" s="713"/>
      <c r="W677" s="713"/>
      <c r="X677" s="713"/>
      <c r="Y677" s="713"/>
      <c r="Z677" s="713"/>
      <c r="AA677" s="713"/>
      <c r="AB677" s="713"/>
      <c r="AC677" s="713"/>
      <c r="AD677" s="713"/>
      <c r="AE677" s="713"/>
      <c r="AF677" s="713"/>
      <c r="AG677" s="713"/>
      <c r="AH677" s="713"/>
      <c r="AI677" s="713"/>
      <c r="AJ677" s="713"/>
      <c r="AK677" s="713"/>
      <c r="AL677" s="713"/>
      <c r="AM677" s="713"/>
      <c r="AN677" s="713"/>
      <c r="AO677" s="713"/>
      <c r="AP677" s="714"/>
      <c r="AQ677" s="715"/>
      <c r="AR677" s="707"/>
      <c r="AS677" s="707"/>
    </row>
    <row r="678" spans="1:45" s="711" customFormat="1" ht="12.75" customHeight="1" x14ac:dyDescent="0.25">
      <c r="A678" s="710"/>
      <c r="B678" s="707"/>
      <c r="C678" s="2032"/>
      <c r="D678" s="2033"/>
      <c r="E678" s="2033"/>
      <c r="F678" s="2033"/>
      <c r="G678" s="2033"/>
      <c r="H678" s="2033"/>
      <c r="I678" s="2033"/>
      <c r="J678" s="2033"/>
      <c r="K678" s="2033"/>
      <c r="L678" s="2033"/>
      <c r="M678" s="2033"/>
      <c r="N678" s="2033"/>
      <c r="O678" s="2033"/>
      <c r="P678" s="2033"/>
      <c r="Q678" s="2034"/>
      <c r="R678" s="713"/>
      <c r="S678" s="713"/>
      <c r="T678" s="713"/>
      <c r="U678" s="713"/>
      <c r="V678" s="713"/>
      <c r="W678" s="713"/>
      <c r="X678" s="713"/>
      <c r="Y678" s="713"/>
      <c r="Z678" s="713"/>
      <c r="AA678" s="713"/>
      <c r="AB678" s="713"/>
      <c r="AC678" s="713"/>
      <c r="AD678" s="713"/>
      <c r="AE678" s="713"/>
      <c r="AF678" s="713"/>
      <c r="AG678" s="713"/>
      <c r="AH678" s="713"/>
      <c r="AI678" s="713"/>
      <c r="AJ678" s="713"/>
      <c r="AK678" s="713"/>
      <c r="AL678" s="713"/>
      <c r="AM678" s="713"/>
      <c r="AN678" s="713"/>
      <c r="AO678" s="713"/>
      <c r="AP678" s="714"/>
      <c r="AQ678" s="715"/>
      <c r="AR678" s="707"/>
      <c r="AS678" s="707"/>
    </row>
    <row r="679" spans="1:45" s="711" customFormat="1" ht="12.75" customHeight="1" x14ac:dyDescent="0.25">
      <c r="A679" s="710"/>
      <c r="B679" s="707"/>
      <c r="C679" s="2032"/>
      <c r="D679" s="2033"/>
      <c r="E679" s="2033"/>
      <c r="F679" s="2033"/>
      <c r="G679" s="2033"/>
      <c r="H679" s="2033"/>
      <c r="I679" s="2033"/>
      <c r="J679" s="2033"/>
      <c r="K679" s="2033"/>
      <c r="L679" s="2033"/>
      <c r="M679" s="2033"/>
      <c r="N679" s="2033"/>
      <c r="O679" s="2033"/>
      <c r="P679" s="2033"/>
      <c r="Q679" s="2034"/>
      <c r="R679" s="713"/>
      <c r="S679" s="713"/>
      <c r="T679" s="713"/>
      <c r="U679" s="713"/>
      <c r="V679" s="713"/>
      <c r="W679" s="713"/>
      <c r="X679" s="713"/>
      <c r="Y679" s="713"/>
      <c r="Z679" s="713"/>
      <c r="AA679" s="713"/>
      <c r="AB679" s="713"/>
      <c r="AC679" s="713"/>
      <c r="AD679" s="713"/>
      <c r="AE679" s="713"/>
      <c r="AF679" s="713"/>
      <c r="AG679" s="713"/>
      <c r="AH679" s="713"/>
      <c r="AI679" s="713"/>
      <c r="AJ679" s="713"/>
      <c r="AK679" s="713"/>
      <c r="AL679" s="713"/>
      <c r="AM679" s="713"/>
      <c r="AN679" s="713"/>
      <c r="AO679" s="713"/>
      <c r="AP679" s="714"/>
      <c r="AQ679" s="715"/>
      <c r="AR679" s="707"/>
      <c r="AS679" s="707"/>
    </row>
    <row r="680" spans="1:45" s="711" customFormat="1" ht="12.75" customHeight="1" x14ac:dyDescent="0.25">
      <c r="A680" s="710"/>
      <c r="B680" s="707"/>
      <c r="C680" s="2032"/>
      <c r="D680" s="2033"/>
      <c r="E680" s="2033"/>
      <c r="F680" s="2033"/>
      <c r="G680" s="2033"/>
      <c r="H680" s="2033"/>
      <c r="I680" s="2033"/>
      <c r="J680" s="2033"/>
      <c r="K680" s="2033"/>
      <c r="L680" s="2033"/>
      <c r="M680" s="2033"/>
      <c r="N680" s="2033"/>
      <c r="O680" s="2033"/>
      <c r="P680" s="2033"/>
      <c r="Q680" s="2034"/>
      <c r="R680" s="713"/>
      <c r="S680" s="713"/>
      <c r="T680" s="713"/>
      <c r="U680" s="713"/>
      <c r="V680" s="713"/>
      <c r="W680" s="713"/>
      <c r="X680" s="713"/>
      <c r="Y680" s="713"/>
      <c r="Z680" s="713"/>
      <c r="AA680" s="713"/>
      <c r="AB680" s="713"/>
      <c r="AC680" s="713"/>
      <c r="AD680" s="713"/>
      <c r="AE680" s="713"/>
      <c r="AF680" s="713"/>
      <c r="AG680" s="713"/>
      <c r="AH680" s="713"/>
      <c r="AI680" s="713"/>
      <c r="AJ680" s="713"/>
      <c r="AK680" s="713"/>
      <c r="AL680" s="713"/>
      <c r="AM680" s="713"/>
      <c r="AN680" s="713"/>
      <c r="AO680" s="713"/>
      <c r="AP680" s="714"/>
      <c r="AQ680" s="715"/>
      <c r="AR680" s="707"/>
      <c r="AS680" s="707"/>
    </row>
    <row r="681" spans="1:45" s="711" customFormat="1" ht="12.75" customHeight="1" x14ac:dyDescent="0.25">
      <c r="A681" s="710"/>
      <c r="B681" s="707"/>
      <c r="C681" s="2035"/>
      <c r="D681" s="2036"/>
      <c r="E681" s="2036"/>
      <c r="F681" s="2036"/>
      <c r="G681" s="2036"/>
      <c r="H681" s="2036"/>
      <c r="I681" s="2036"/>
      <c r="J681" s="2036"/>
      <c r="K681" s="2036"/>
      <c r="L681" s="2036"/>
      <c r="M681" s="2036"/>
      <c r="N681" s="2036"/>
      <c r="O681" s="2036"/>
      <c r="P681" s="2036"/>
      <c r="Q681" s="2037"/>
      <c r="R681" s="713"/>
      <c r="S681" s="713"/>
      <c r="T681" s="713"/>
      <c r="U681" s="713"/>
      <c r="V681" s="713"/>
      <c r="W681" s="713"/>
      <c r="X681" s="713"/>
      <c r="Y681" s="713"/>
      <c r="Z681" s="713"/>
      <c r="AA681" s="713"/>
      <c r="AB681" s="713"/>
      <c r="AC681" s="713"/>
      <c r="AD681" s="713"/>
      <c r="AE681" s="713"/>
      <c r="AF681" s="713"/>
      <c r="AG681" s="713"/>
      <c r="AH681" s="713"/>
      <c r="AI681" s="713"/>
      <c r="AJ681" s="713"/>
      <c r="AK681" s="713"/>
      <c r="AL681" s="713"/>
      <c r="AM681" s="713"/>
      <c r="AN681" s="713"/>
      <c r="AO681" s="713"/>
      <c r="AP681" s="714"/>
      <c r="AQ681" s="715"/>
      <c r="AR681" s="707"/>
      <c r="AS681" s="707"/>
    </row>
    <row r="682" spans="1:45" s="707" customFormat="1" ht="12.75" customHeight="1" x14ac:dyDescent="0.25">
      <c r="A682" s="8"/>
      <c r="B682" s="8"/>
      <c r="C682" s="8"/>
      <c r="D682" s="1129"/>
      <c r="E682" s="1129"/>
      <c r="F682" s="1129"/>
      <c r="G682" s="1129"/>
      <c r="H682" s="1129"/>
      <c r="I682" s="1129"/>
      <c r="J682" s="1127"/>
      <c r="K682" s="1127"/>
      <c r="L682" s="1127"/>
      <c r="M682" s="1127"/>
      <c r="N682" s="1160"/>
      <c r="O682" s="1160"/>
      <c r="P682" s="1161"/>
      <c r="Q682" s="1161"/>
      <c r="R682" s="8"/>
      <c r="S682" s="8"/>
      <c r="T682" s="8"/>
      <c r="U682" s="8"/>
      <c r="V682" s="713"/>
      <c r="W682" s="713"/>
      <c r="X682" s="713"/>
      <c r="Y682" s="713"/>
      <c r="Z682" s="713"/>
      <c r="AA682" s="713"/>
      <c r="AB682" s="713"/>
      <c r="AC682" s="713"/>
      <c r="AD682" s="713"/>
      <c r="AE682" s="713"/>
      <c r="AF682" s="713"/>
      <c r="AG682" s="713"/>
      <c r="AH682" s="713"/>
      <c r="AI682" s="713"/>
      <c r="AJ682" s="713"/>
      <c r="AK682" s="713"/>
      <c r="AL682" s="713"/>
      <c r="AM682" s="713"/>
      <c r="AN682" s="713"/>
      <c r="AO682" s="713"/>
      <c r="AP682" s="713"/>
      <c r="AQ682" s="715"/>
    </row>
    <row r="683" spans="1:45" s="707" customFormat="1" ht="12.75" customHeight="1" x14ac:dyDescent="0.25">
      <c r="A683" s="8"/>
      <c r="B683" s="8"/>
      <c r="C683" s="8"/>
      <c r="D683" s="1129"/>
      <c r="E683" s="1129"/>
      <c r="F683" s="1129"/>
      <c r="G683" s="1129"/>
      <c r="H683" s="1129"/>
      <c r="I683" s="1129"/>
      <c r="J683" s="1127"/>
      <c r="K683" s="1127"/>
      <c r="L683" s="1127"/>
      <c r="M683" s="1127"/>
      <c r="N683" s="1160"/>
      <c r="O683" s="1160"/>
      <c r="P683" s="1161"/>
      <c r="Q683" s="1161"/>
      <c r="R683" s="8"/>
      <c r="S683" s="8"/>
      <c r="T683" s="8"/>
      <c r="U683" s="8"/>
      <c r="V683" s="713"/>
      <c r="W683" s="713"/>
      <c r="X683" s="713"/>
      <c r="Y683" s="713"/>
      <c r="Z683" s="713"/>
      <c r="AA683" s="713"/>
      <c r="AB683" s="713"/>
      <c r="AC683" s="713"/>
      <c r="AD683" s="713"/>
      <c r="AE683" s="713"/>
      <c r="AF683" s="713"/>
      <c r="AG683" s="713"/>
      <c r="AH683" s="713"/>
      <c r="AI683" s="713"/>
      <c r="AJ683" s="713"/>
      <c r="AK683" s="713"/>
      <c r="AL683" s="713"/>
      <c r="AM683" s="713"/>
      <c r="AN683" s="713"/>
      <c r="AO683" s="713"/>
      <c r="AP683" s="713"/>
      <c r="AQ683" s="715"/>
    </row>
    <row r="684" spans="1:45" s="707" customFormat="1" ht="12.75" customHeight="1" x14ac:dyDescent="0.25">
      <c r="A684" s="8"/>
      <c r="B684" s="8"/>
      <c r="C684" s="8"/>
      <c r="D684" s="1129"/>
      <c r="E684" s="1129"/>
      <c r="F684" s="1129"/>
      <c r="G684" s="1129"/>
      <c r="H684" s="1129"/>
      <c r="I684" s="1129"/>
      <c r="J684" s="1127"/>
      <c r="K684" s="1127"/>
      <c r="L684" s="1127"/>
      <c r="M684" s="1127"/>
      <c r="N684" s="1160"/>
      <c r="O684" s="1160"/>
      <c r="P684" s="1161"/>
      <c r="Q684" s="1161"/>
      <c r="R684" s="8"/>
      <c r="S684" s="8"/>
      <c r="T684" s="8"/>
      <c r="U684" s="8"/>
      <c r="V684" s="713"/>
      <c r="W684" s="713"/>
      <c r="X684" s="713"/>
      <c r="Y684" s="713"/>
      <c r="Z684" s="713"/>
      <c r="AA684" s="713"/>
      <c r="AB684" s="713"/>
      <c r="AC684" s="713"/>
      <c r="AD684" s="713"/>
      <c r="AE684" s="713"/>
      <c r="AF684" s="713"/>
      <c r="AG684" s="713"/>
      <c r="AH684" s="713"/>
      <c r="AI684" s="713"/>
      <c r="AJ684" s="713"/>
      <c r="AK684" s="713"/>
      <c r="AL684" s="713"/>
      <c r="AM684" s="713"/>
      <c r="AN684" s="713"/>
      <c r="AO684" s="713"/>
      <c r="AP684" s="713"/>
      <c r="AQ684" s="715"/>
    </row>
    <row r="685" spans="1:45" s="707" customFormat="1" ht="12.75" customHeight="1" x14ac:dyDescent="0.25">
      <c r="A685" s="8"/>
      <c r="B685" s="8"/>
      <c r="C685" s="8"/>
      <c r="D685" s="1129"/>
      <c r="E685" s="1129"/>
      <c r="F685" s="1129"/>
      <c r="G685" s="1129"/>
      <c r="H685" s="1129"/>
      <c r="I685" s="1129"/>
      <c r="J685" s="1127"/>
      <c r="K685" s="1127"/>
      <c r="L685" s="1127"/>
      <c r="M685" s="1127"/>
      <c r="N685" s="1160"/>
      <c r="O685" s="1160"/>
      <c r="P685" s="1161"/>
      <c r="Q685" s="1161"/>
      <c r="R685" s="8"/>
      <c r="S685" s="8"/>
      <c r="T685" s="8"/>
      <c r="U685" s="8"/>
      <c r="V685" s="713"/>
      <c r="W685" s="713"/>
      <c r="X685" s="713"/>
      <c r="Y685" s="713"/>
      <c r="Z685" s="713"/>
      <c r="AA685" s="713"/>
      <c r="AB685" s="713"/>
      <c r="AC685" s="713"/>
      <c r="AD685" s="713"/>
      <c r="AE685" s="713"/>
      <c r="AF685" s="713"/>
      <c r="AG685" s="713"/>
      <c r="AH685" s="713"/>
      <c r="AI685" s="713"/>
      <c r="AJ685" s="713"/>
      <c r="AK685" s="713"/>
      <c r="AL685" s="713"/>
      <c r="AM685" s="713"/>
      <c r="AN685" s="713"/>
      <c r="AO685" s="713"/>
      <c r="AP685" s="713"/>
      <c r="AQ685" s="715"/>
    </row>
    <row r="686" spans="1:45" s="707" customFormat="1" ht="12.75" customHeight="1" x14ac:dyDescent="0.25">
      <c r="A686" s="8"/>
      <c r="B686" s="8"/>
      <c r="C686" s="8"/>
      <c r="D686" s="1129"/>
      <c r="E686" s="1129"/>
      <c r="F686" s="1129"/>
      <c r="G686" s="1129"/>
      <c r="H686" s="1129"/>
      <c r="I686" s="1129"/>
      <c r="J686" s="1127"/>
      <c r="K686" s="1127"/>
      <c r="L686" s="1127"/>
      <c r="M686" s="1127"/>
      <c r="N686" s="1160"/>
      <c r="O686" s="1160"/>
      <c r="P686" s="1161"/>
      <c r="Q686" s="1161"/>
      <c r="R686" s="8"/>
      <c r="S686" s="8"/>
      <c r="T686" s="8"/>
      <c r="U686" s="8"/>
      <c r="V686" s="713"/>
      <c r="W686" s="713"/>
      <c r="X686" s="713"/>
      <c r="Y686" s="713"/>
      <c r="Z686" s="713"/>
      <c r="AA686" s="713"/>
      <c r="AB686" s="713"/>
      <c r="AC686" s="713"/>
      <c r="AD686" s="713"/>
      <c r="AE686" s="713"/>
      <c r="AF686" s="713"/>
      <c r="AG686" s="713"/>
      <c r="AH686" s="713"/>
      <c r="AI686" s="713"/>
      <c r="AJ686" s="713"/>
      <c r="AK686" s="713"/>
      <c r="AL686" s="713"/>
      <c r="AM686" s="713"/>
      <c r="AN686" s="713"/>
      <c r="AO686" s="713"/>
      <c r="AP686" s="713"/>
      <c r="AQ686" s="715"/>
    </row>
    <row r="687" spans="1:45" s="707" customFormat="1" ht="12.75" customHeight="1" x14ac:dyDescent="0.25">
      <c r="A687" s="8"/>
      <c r="B687" s="8"/>
      <c r="C687" s="8"/>
      <c r="D687" s="1129"/>
      <c r="E687" s="1129"/>
      <c r="F687" s="1129"/>
      <c r="G687" s="1129"/>
      <c r="H687" s="1129"/>
      <c r="I687" s="1129"/>
      <c r="J687" s="1127"/>
      <c r="K687" s="1127"/>
      <c r="L687" s="1127"/>
      <c r="M687" s="1127"/>
      <c r="N687" s="1160"/>
      <c r="O687" s="1160"/>
      <c r="P687" s="1161"/>
      <c r="Q687" s="1161"/>
      <c r="R687" s="8"/>
      <c r="S687" s="8"/>
      <c r="T687" s="8"/>
      <c r="U687" s="8"/>
      <c r="V687" s="713"/>
      <c r="W687" s="713"/>
      <c r="X687" s="713"/>
      <c r="Y687" s="713"/>
      <c r="Z687" s="713"/>
      <c r="AA687" s="713"/>
      <c r="AB687" s="713"/>
      <c r="AC687" s="713"/>
      <c r="AD687" s="713"/>
      <c r="AE687" s="713"/>
      <c r="AF687" s="713"/>
      <c r="AG687" s="713"/>
      <c r="AH687" s="713"/>
      <c r="AI687" s="713"/>
      <c r="AJ687" s="713"/>
      <c r="AK687" s="713"/>
      <c r="AL687" s="713"/>
      <c r="AM687" s="713"/>
      <c r="AN687" s="713"/>
      <c r="AO687" s="713"/>
      <c r="AP687" s="713"/>
      <c r="AQ687" s="715"/>
    </row>
    <row r="688" spans="1:45" s="707" customFormat="1" ht="12.75" customHeight="1" x14ac:dyDescent="0.25">
      <c r="A688" s="8"/>
      <c r="B688" s="8"/>
      <c r="C688" s="8"/>
      <c r="D688" s="1129"/>
      <c r="E688" s="1129"/>
      <c r="F688" s="1129"/>
      <c r="G688" s="1129"/>
      <c r="H688" s="1129"/>
      <c r="I688" s="1129"/>
      <c r="J688" s="1127"/>
      <c r="K688" s="1127"/>
      <c r="L688" s="1127"/>
      <c r="M688" s="1127"/>
      <c r="N688" s="1160"/>
      <c r="O688" s="1160"/>
      <c r="P688" s="1161"/>
      <c r="Q688" s="1161"/>
      <c r="R688" s="8"/>
      <c r="S688" s="8"/>
      <c r="T688" s="8"/>
      <c r="U688" s="8"/>
      <c r="V688" s="713"/>
      <c r="W688" s="713"/>
      <c r="X688" s="713"/>
      <c r="Y688" s="713"/>
      <c r="Z688" s="713"/>
      <c r="AA688" s="713"/>
      <c r="AB688" s="713"/>
      <c r="AC688" s="713"/>
      <c r="AD688" s="713"/>
      <c r="AE688" s="713"/>
      <c r="AF688" s="713"/>
      <c r="AG688" s="713"/>
      <c r="AH688" s="713"/>
      <c r="AI688" s="713"/>
      <c r="AJ688" s="713"/>
      <c r="AK688" s="713"/>
      <c r="AL688" s="713"/>
      <c r="AM688" s="713"/>
      <c r="AN688" s="713"/>
      <c r="AO688" s="713"/>
      <c r="AP688" s="713"/>
      <c r="AQ688" s="715"/>
    </row>
    <row r="689" spans="1:43" s="707" customFormat="1" ht="12.75" customHeight="1" x14ac:dyDescent="0.25">
      <c r="A689" s="8"/>
      <c r="B689" s="8"/>
      <c r="C689" s="8"/>
      <c r="D689" s="1129"/>
      <c r="E689" s="1129"/>
      <c r="F689" s="1129"/>
      <c r="G689" s="1129"/>
      <c r="H689" s="1129"/>
      <c r="I689" s="1129"/>
      <c r="J689" s="1127"/>
      <c r="K689" s="1127"/>
      <c r="L689" s="1127"/>
      <c r="M689" s="1127"/>
      <c r="N689" s="1160"/>
      <c r="O689" s="1160"/>
      <c r="P689" s="1161"/>
      <c r="Q689" s="1161"/>
      <c r="R689" s="8"/>
      <c r="S689" s="8"/>
      <c r="T689" s="8"/>
      <c r="U689" s="8"/>
      <c r="V689" s="713"/>
      <c r="W689" s="713"/>
      <c r="X689" s="713"/>
      <c r="Y689" s="713"/>
      <c r="Z689" s="713"/>
      <c r="AA689" s="713"/>
      <c r="AB689" s="713"/>
      <c r="AC689" s="713"/>
      <c r="AD689" s="713"/>
      <c r="AE689" s="713"/>
      <c r="AF689" s="713"/>
      <c r="AG689" s="713"/>
      <c r="AH689" s="713"/>
      <c r="AI689" s="713"/>
      <c r="AJ689" s="713"/>
      <c r="AK689" s="713"/>
      <c r="AL689" s="713"/>
      <c r="AM689" s="713"/>
      <c r="AN689" s="713"/>
      <c r="AO689" s="713"/>
      <c r="AP689" s="713"/>
      <c r="AQ689" s="715"/>
    </row>
    <row r="690" spans="1:43" s="707" customFormat="1" ht="12.75" customHeight="1" x14ac:dyDescent="0.25">
      <c r="A690" s="8"/>
      <c r="B690" s="8"/>
      <c r="C690" s="8"/>
      <c r="D690" s="1129"/>
      <c r="E690" s="1129"/>
      <c r="F690" s="1129"/>
      <c r="G690" s="1129"/>
      <c r="H690" s="1129"/>
      <c r="I690" s="1129"/>
      <c r="J690" s="1127"/>
      <c r="K690" s="1127"/>
      <c r="L690" s="1127"/>
      <c r="M690" s="1127"/>
      <c r="N690" s="1160"/>
      <c r="O690" s="1160"/>
      <c r="P690" s="1161"/>
      <c r="Q690" s="1161"/>
      <c r="R690" s="8"/>
      <c r="S690" s="8"/>
      <c r="T690" s="8"/>
      <c r="U690" s="8"/>
      <c r="V690" s="713"/>
      <c r="W690" s="713"/>
      <c r="X690" s="713"/>
      <c r="Y690" s="713"/>
      <c r="Z690" s="713"/>
      <c r="AA690" s="713"/>
      <c r="AB690" s="713"/>
      <c r="AC690" s="713"/>
      <c r="AD690" s="713"/>
      <c r="AE690" s="713"/>
      <c r="AF690" s="713"/>
      <c r="AG690" s="713"/>
      <c r="AH690" s="713"/>
      <c r="AI690" s="713"/>
      <c r="AJ690" s="713"/>
      <c r="AK690" s="713"/>
      <c r="AL690" s="713"/>
      <c r="AM690" s="713"/>
      <c r="AN690" s="713"/>
      <c r="AO690" s="713"/>
      <c r="AP690" s="713"/>
      <c r="AQ690" s="715"/>
    </row>
    <row r="691" spans="1:43" s="707" customFormat="1" ht="12.75" customHeight="1" x14ac:dyDescent="0.25">
      <c r="A691" s="8"/>
      <c r="B691" s="8"/>
      <c r="C691" s="8"/>
      <c r="D691" s="1129"/>
      <c r="E691" s="1129"/>
      <c r="F691" s="1129"/>
      <c r="G691" s="1129"/>
      <c r="H691" s="1129"/>
      <c r="I691" s="1129"/>
      <c r="J691" s="1127"/>
      <c r="K691" s="1127"/>
      <c r="L691" s="1127"/>
      <c r="M691" s="1127"/>
      <c r="N691" s="1160"/>
      <c r="O691" s="1160"/>
      <c r="P691" s="1161"/>
      <c r="Q691" s="1161"/>
      <c r="R691" s="8"/>
      <c r="S691" s="8"/>
      <c r="T691" s="8"/>
      <c r="U691" s="8"/>
      <c r="V691" s="713"/>
      <c r="W691" s="713"/>
      <c r="X691" s="713"/>
      <c r="Y691" s="713"/>
      <c r="Z691" s="713"/>
      <c r="AA691" s="713"/>
      <c r="AB691" s="713"/>
      <c r="AC691" s="713"/>
      <c r="AD691" s="713"/>
      <c r="AE691" s="713"/>
      <c r="AF691" s="713"/>
      <c r="AG691" s="713"/>
      <c r="AH691" s="713"/>
      <c r="AI691" s="713"/>
      <c r="AJ691" s="713"/>
      <c r="AK691" s="713"/>
      <c r="AL691" s="713"/>
      <c r="AM691" s="713"/>
      <c r="AN691" s="713"/>
      <c r="AO691" s="713"/>
      <c r="AP691" s="713"/>
      <c r="AQ691" s="715"/>
    </row>
    <row r="692" spans="1:43" s="707" customFormat="1" ht="12.75" customHeight="1" x14ac:dyDescent="0.25">
      <c r="A692" s="8"/>
      <c r="B692" s="8"/>
      <c r="C692" s="8"/>
      <c r="D692" s="1129"/>
      <c r="E692" s="1129"/>
      <c r="F692" s="1129"/>
      <c r="G692" s="1129"/>
      <c r="H692" s="1129"/>
      <c r="I692" s="1129"/>
      <c r="J692" s="1127"/>
      <c r="K692" s="1127"/>
      <c r="L692" s="1127"/>
      <c r="M692" s="1127"/>
      <c r="N692" s="1160"/>
      <c r="O692" s="1160"/>
      <c r="P692" s="1161"/>
      <c r="Q692" s="1161"/>
      <c r="R692" s="8"/>
      <c r="S692" s="8"/>
      <c r="T692" s="8"/>
      <c r="U692" s="8"/>
      <c r="V692" s="713"/>
      <c r="W692" s="713"/>
      <c r="X692" s="713"/>
      <c r="Y692" s="713"/>
      <c r="Z692" s="713"/>
      <c r="AA692" s="713"/>
      <c r="AB692" s="713"/>
      <c r="AC692" s="713"/>
      <c r="AD692" s="713"/>
      <c r="AE692" s="713"/>
      <c r="AF692" s="713"/>
      <c r="AG692" s="713"/>
      <c r="AH692" s="713"/>
      <c r="AI692" s="713"/>
      <c r="AJ692" s="713"/>
      <c r="AK692" s="713"/>
      <c r="AL692" s="713"/>
      <c r="AM692" s="713"/>
      <c r="AN692" s="713"/>
      <c r="AO692" s="713"/>
      <c r="AP692" s="713"/>
      <c r="AQ692" s="715"/>
    </row>
    <row r="693" spans="1:43" s="707" customFormat="1" ht="12.75" customHeight="1" x14ac:dyDescent="0.25">
      <c r="A693" s="8"/>
      <c r="B693" s="8"/>
      <c r="C693" s="8"/>
      <c r="D693" s="1129"/>
      <c r="E693" s="1129"/>
      <c r="F693" s="1129"/>
      <c r="G693" s="1129"/>
      <c r="H693" s="1129"/>
      <c r="I693" s="1129"/>
      <c r="J693" s="1127"/>
      <c r="K693" s="1127"/>
      <c r="L693" s="1127"/>
      <c r="M693" s="1127"/>
      <c r="N693" s="1160"/>
      <c r="O693" s="1160"/>
      <c r="P693" s="1161"/>
      <c r="Q693" s="1161"/>
      <c r="R693" s="8"/>
      <c r="S693" s="8"/>
      <c r="T693" s="8"/>
      <c r="U693" s="8"/>
      <c r="V693" s="713"/>
      <c r="W693" s="713"/>
      <c r="X693" s="713"/>
      <c r="Y693" s="713"/>
      <c r="Z693" s="713"/>
      <c r="AA693" s="713"/>
      <c r="AB693" s="713"/>
      <c r="AC693" s="713"/>
      <c r="AD693" s="713"/>
      <c r="AE693" s="713"/>
      <c r="AF693" s="713"/>
      <c r="AG693" s="713"/>
      <c r="AH693" s="713"/>
      <c r="AI693" s="713"/>
      <c r="AJ693" s="713"/>
      <c r="AK693" s="713"/>
      <c r="AL693" s="713"/>
      <c r="AM693" s="713"/>
      <c r="AN693" s="713"/>
      <c r="AO693" s="713"/>
      <c r="AP693" s="713"/>
      <c r="AQ693" s="715"/>
    </row>
    <row r="694" spans="1:43" ht="12.75" customHeight="1" x14ac:dyDescent="0.25"/>
    <row r="695" spans="1:43" ht="12.75" customHeight="1" x14ac:dyDescent="0.25"/>
    <row r="696" spans="1:43" ht="12.75" customHeight="1" x14ac:dyDescent="0.25"/>
    <row r="697" spans="1:43" ht="12.75" hidden="1" customHeight="1" x14ac:dyDescent="0.25"/>
    <row r="698" spans="1:43" ht="12.75" hidden="1" customHeight="1" x14ac:dyDescent="0.25"/>
    <row r="699" spans="1:43" ht="12.75" hidden="1" customHeight="1" x14ac:dyDescent="0.25"/>
    <row r="700" spans="1:43" ht="12.75" hidden="1" customHeight="1" x14ac:dyDescent="0.25"/>
    <row r="701" spans="1:43" ht="12.75" hidden="1" customHeight="1" x14ac:dyDescent="0.25"/>
    <row r="702" spans="1:43" ht="12.75" hidden="1" customHeight="1" x14ac:dyDescent="0.25"/>
    <row r="703" spans="1:43" ht="12.75" hidden="1" customHeight="1" x14ac:dyDescent="0.25"/>
    <row r="704" spans="1:43"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hidden="1" customHeight="1" x14ac:dyDescent="0.25"/>
    <row r="991" ht="12.75" hidden="1" customHeight="1" x14ac:dyDescent="0.25"/>
    <row r="992" ht="12.75" hidden="1" customHeight="1" x14ac:dyDescent="0.25"/>
    <row r="993" ht="12.75" hidden="1" customHeight="1" x14ac:dyDescent="0.25"/>
    <row r="994" ht="12.75" hidden="1" customHeight="1" x14ac:dyDescent="0.25"/>
    <row r="995" ht="12.75" hidden="1" customHeight="1" x14ac:dyDescent="0.25"/>
    <row r="996" ht="12.75" hidden="1" customHeight="1" x14ac:dyDescent="0.25"/>
    <row r="997" ht="12.75" hidden="1" customHeight="1" x14ac:dyDescent="0.25"/>
    <row r="998" ht="12.75" hidden="1" customHeight="1" x14ac:dyDescent="0.25"/>
    <row r="999" ht="12.75" hidden="1" customHeight="1" x14ac:dyDescent="0.25"/>
    <row r="1000" ht="12.75" hidden="1" customHeight="1" x14ac:dyDescent="0.25"/>
    <row r="1001" ht="12.75" hidden="1" customHeight="1" x14ac:dyDescent="0.25"/>
    <row r="1002" ht="12.75" hidden="1" customHeight="1" x14ac:dyDescent="0.25"/>
    <row r="1003" ht="12.75" hidden="1" customHeight="1" x14ac:dyDescent="0.25"/>
    <row r="1004" ht="12.75" hidden="1" customHeight="1" x14ac:dyDescent="0.25"/>
    <row r="1005" ht="12.75" hidden="1" customHeight="1" x14ac:dyDescent="0.25"/>
    <row r="1006" ht="12.75" hidden="1" customHeight="1" x14ac:dyDescent="0.25"/>
    <row r="1007" ht="12.75" hidden="1" customHeight="1" x14ac:dyDescent="0.25"/>
    <row r="1008" ht="12.75" hidden="1" customHeight="1" x14ac:dyDescent="0.25"/>
    <row r="1009" ht="12.75" hidden="1" customHeight="1" x14ac:dyDescent="0.25"/>
    <row r="1010" ht="12.75" hidden="1" customHeight="1" x14ac:dyDescent="0.25"/>
    <row r="1011" ht="12.75" hidden="1" customHeight="1" x14ac:dyDescent="0.25"/>
    <row r="1012" ht="12.75" hidden="1" customHeight="1" x14ac:dyDescent="0.25"/>
    <row r="1013" ht="12.75" hidden="1" customHeight="1" x14ac:dyDescent="0.25"/>
    <row r="1014" ht="12.75" hidden="1" customHeight="1" x14ac:dyDescent="0.25"/>
    <row r="1015" ht="12.75" hidden="1" customHeight="1" x14ac:dyDescent="0.25"/>
    <row r="1016" ht="12.75" hidden="1" customHeight="1" x14ac:dyDescent="0.25"/>
    <row r="1017" ht="12.75" hidden="1" customHeight="1" x14ac:dyDescent="0.25"/>
    <row r="1018" ht="12.75" hidden="1" customHeight="1" x14ac:dyDescent="0.25"/>
    <row r="1019" ht="12.75" hidden="1" customHeight="1" x14ac:dyDescent="0.25"/>
    <row r="1020" ht="12.75" hidden="1" customHeight="1" x14ac:dyDescent="0.25"/>
    <row r="1021" ht="12.75" hidden="1" customHeight="1" x14ac:dyDescent="0.25"/>
    <row r="1022" ht="12.75" hidden="1" customHeight="1" x14ac:dyDescent="0.25"/>
    <row r="1023" ht="12.75" hidden="1" customHeight="1" x14ac:dyDescent="0.25"/>
    <row r="1024" ht="12.75" hidden="1" customHeight="1" x14ac:dyDescent="0.25"/>
    <row r="1025" ht="12.75" hidden="1" customHeight="1" x14ac:dyDescent="0.25"/>
    <row r="1026" ht="12.75" hidden="1" customHeight="1" x14ac:dyDescent="0.25"/>
    <row r="1027" ht="12.75" hidden="1" customHeight="1" x14ac:dyDescent="0.25"/>
    <row r="1028" ht="12.75" hidden="1" customHeight="1" x14ac:dyDescent="0.25"/>
    <row r="1029" ht="12.75" hidden="1" customHeight="1" x14ac:dyDescent="0.25"/>
    <row r="1030" ht="12.75" hidden="1" customHeight="1" x14ac:dyDescent="0.25"/>
    <row r="1031" ht="12.75" hidden="1" customHeight="1" x14ac:dyDescent="0.25"/>
    <row r="1032" ht="12.75" hidden="1" customHeight="1" x14ac:dyDescent="0.25"/>
    <row r="1033" ht="12.75" hidden="1" customHeight="1" x14ac:dyDescent="0.25"/>
    <row r="1034" ht="12.75" hidden="1" customHeight="1" x14ac:dyDescent="0.25"/>
    <row r="1035" ht="12.75" hidden="1" customHeight="1" x14ac:dyDescent="0.25"/>
    <row r="1036" ht="12.75" hidden="1" customHeight="1" x14ac:dyDescent="0.25"/>
    <row r="1037" ht="12.75" hidden="1" customHeight="1" x14ac:dyDescent="0.25"/>
    <row r="1038" ht="12.75" hidden="1" customHeight="1" x14ac:dyDescent="0.25"/>
    <row r="1039" ht="12.75" hidden="1" customHeight="1" x14ac:dyDescent="0.25"/>
    <row r="1040" ht="12.75" hidden="1" customHeight="1" x14ac:dyDescent="0.25"/>
    <row r="1041" ht="12.75" hidden="1" customHeight="1" x14ac:dyDescent="0.25"/>
    <row r="1042" ht="12.75" hidden="1" customHeight="1" x14ac:dyDescent="0.25"/>
    <row r="1043" ht="12.75" hidden="1" customHeight="1" x14ac:dyDescent="0.25"/>
    <row r="1044" ht="12.75" hidden="1" customHeight="1" x14ac:dyDescent="0.25"/>
    <row r="1045" ht="12.75" hidden="1" customHeight="1" x14ac:dyDescent="0.25"/>
    <row r="1046" ht="12.75" hidden="1" customHeight="1" x14ac:dyDescent="0.25"/>
    <row r="1047" ht="12.75" hidden="1" customHeight="1" x14ac:dyDescent="0.25"/>
    <row r="1048" ht="12.75" hidden="1" customHeight="1" x14ac:dyDescent="0.25"/>
    <row r="1049" ht="12.75" hidden="1" customHeight="1" x14ac:dyDescent="0.25"/>
    <row r="1050" ht="12.75" hidden="1" customHeight="1" x14ac:dyDescent="0.25"/>
    <row r="1051" ht="12.75" hidden="1" customHeight="1" x14ac:dyDescent="0.25"/>
    <row r="1052" ht="12.75" hidden="1"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sheetData>
  <mergeCells count="659">
    <mergeCell ref="C301:Q307"/>
    <mergeCell ref="C362:Q368"/>
    <mergeCell ref="C444:Q450"/>
    <mergeCell ref="C526:Q532"/>
    <mergeCell ref="C675:Q681"/>
    <mergeCell ref="P295:Q295"/>
    <mergeCell ref="D296:I296"/>
    <mergeCell ref="N296:O296"/>
    <mergeCell ref="P296:Q296"/>
    <mergeCell ref="O316:P316"/>
    <mergeCell ref="O317:P317"/>
    <mergeCell ref="N322:Q322"/>
    <mergeCell ref="N323:O323"/>
    <mergeCell ref="P323:Q323"/>
    <mergeCell ref="N324:O324"/>
    <mergeCell ref="P324:Q324"/>
    <mergeCell ref="N330:Q330"/>
    <mergeCell ref="N331:O331"/>
    <mergeCell ref="P331:Q331"/>
    <mergeCell ref="N332:O332"/>
    <mergeCell ref="P332:Q332"/>
    <mergeCell ref="N333:O333"/>
    <mergeCell ref="P334:Q334"/>
    <mergeCell ref="N326:O326"/>
    <mergeCell ref="O219:P219"/>
    <mergeCell ref="N288:O288"/>
    <mergeCell ref="P288:Q288"/>
    <mergeCell ref="N290:O290"/>
    <mergeCell ref="P290:Q290"/>
    <mergeCell ref="N291:O291"/>
    <mergeCell ref="P291:Q291"/>
    <mergeCell ref="N284:O284"/>
    <mergeCell ref="P284:Q284"/>
    <mergeCell ref="N285:O285"/>
    <mergeCell ref="P285:Q285"/>
    <mergeCell ref="P286:Q286"/>
    <mergeCell ref="N287:O287"/>
    <mergeCell ref="P287:Q287"/>
    <mergeCell ref="N280:O280"/>
    <mergeCell ref="P280:Q280"/>
    <mergeCell ref="N272:O272"/>
    <mergeCell ref="P272:Q272"/>
    <mergeCell ref="N273:O273"/>
    <mergeCell ref="P273:Q273"/>
    <mergeCell ref="N274:O274"/>
    <mergeCell ref="P274:Q274"/>
    <mergeCell ref="N233:O233"/>
    <mergeCell ref="P233:Q233"/>
    <mergeCell ref="D281:I281"/>
    <mergeCell ref="N281:O281"/>
    <mergeCell ref="P281:Q281"/>
    <mergeCell ref="D282:I282"/>
    <mergeCell ref="N282:O282"/>
    <mergeCell ref="P282:Q282"/>
    <mergeCell ref="N275:O275"/>
    <mergeCell ref="P275:Q275"/>
    <mergeCell ref="N278:O278"/>
    <mergeCell ref="P278:Q278"/>
    <mergeCell ref="N279:O279"/>
    <mergeCell ref="P279:Q279"/>
    <mergeCell ref="D257:I257"/>
    <mergeCell ref="N257:O257"/>
    <mergeCell ref="P257:Q257"/>
    <mergeCell ref="N263:Q263"/>
    <mergeCell ref="N264:O264"/>
    <mergeCell ref="P264:Q264"/>
    <mergeCell ref="N251:O251"/>
    <mergeCell ref="P251:Q251"/>
    <mergeCell ref="P252:Q252"/>
    <mergeCell ref="P256:Q256"/>
    <mergeCell ref="N252:O252"/>
    <mergeCell ref="P246:Q246"/>
    <mergeCell ref="P247:Q247"/>
    <mergeCell ref="N248:O248"/>
    <mergeCell ref="P248:Q248"/>
    <mergeCell ref="N246:O246"/>
    <mergeCell ref="N249:O249"/>
    <mergeCell ref="P249:Q249"/>
    <mergeCell ref="D242:I242"/>
    <mergeCell ref="N242:O242"/>
    <mergeCell ref="P242:Q242"/>
    <mergeCell ref="N245:O245"/>
    <mergeCell ref="P245:Q245"/>
    <mergeCell ref="D243:I243"/>
    <mergeCell ref="N243:O243"/>
    <mergeCell ref="P243:Q243"/>
    <mergeCell ref="N239:O239"/>
    <mergeCell ref="P239:Q239"/>
    <mergeCell ref="N240:O240"/>
    <mergeCell ref="P240:Q240"/>
    <mergeCell ref="N241:O241"/>
    <mergeCell ref="P241:Q241"/>
    <mergeCell ref="N234:O234"/>
    <mergeCell ref="P234:Q234"/>
    <mergeCell ref="N235:O235"/>
    <mergeCell ref="P235:Q235"/>
    <mergeCell ref="N236:O236"/>
    <mergeCell ref="P236:Q236"/>
    <mergeCell ref="N231:O231"/>
    <mergeCell ref="P231:Q231"/>
    <mergeCell ref="N232:O232"/>
    <mergeCell ref="P232:Q232"/>
    <mergeCell ref="N230:O230"/>
    <mergeCell ref="P230:Q230"/>
    <mergeCell ref="N229:Q229"/>
    <mergeCell ref="N225:O225"/>
    <mergeCell ref="P225:Q225"/>
    <mergeCell ref="N226:O226"/>
    <mergeCell ref="P226:Q226"/>
    <mergeCell ref="N224:Q224"/>
    <mergeCell ref="L30:O30"/>
    <mergeCell ref="P30:S30"/>
    <mergeCell ref="O216:P216"/>
    <mergeCell ref="O217:P217"/>
    <mergeCell ref="O218:P218"/>
    <mergeCell ref="P196:Q196"/>
    <mergeCell ref="P182:Q182"/>
    <mergeCell ref="N174:O174"/>
    <mergeCell ref="P174:Q174"/>
    <mergeCell ref="N175:O175"/>
    <mergeCell ref="P175:Q175"/>
    <mergeCell ref="N176:O176"/>
    <mergeCell ref="P176:Q176"/>
    <mergeCell ref="N171:O171"/>
    <mergeCell ref="P171:Q171"/>
    <mergeCell ref="N172:O172"/>
    <mergeCell ref="P172:Q172"/>
    <mergeCell ref="N173:O173"/>
    <mergeCell ref="P173:Q173"/>
    <mergeCell ref="N165:O165"/>
    <mergeCell ref="P165:Q165"/>
    <mergeCell ref="N166:O166"/>
    <mergeCell ref="P166:Q166"/>
    <mergeCell ref="D197:I197"/>
    <mergeCell ref="N197:O197"/>
    <mergeCell ref="P197:Q197"/>
    <mergeCell ref="L21:O21"/>
    <mergeCell ref="P21:S21"/>
    <mergeCell ref="L22:O22"/>
    <mergeCell ref="P22:S22"/>
    <mergeCell ref="L29:O29"/>
    <mergeCell ref="P29:S29"/>
    <mergeCell ref="N189:O189"/>
    <mergeCell ref="P189:Q189"/>
    <mergeCell ref="N191:O191"/>
    <mergeCell ref="P191:Q191"/>
    <mergeCell ref="N192:O192"/>
    <mergeCell ref="P192:Q192"/>
    <mergeCell ref="N185:O185"/>
    <mergeCell ref="P185:Q185"/>
    <mergeCell ref="N186:O186"/>
    <mergeCell ref="P186:Q186"/>
    <mergeCell ref="P187:Q187"/>
    <mergeCell ref="N188:O188"/>
    <mergeCell ref="P188:Q188"/>
    <mergeCell ref="D182:I182"/>
    <mergeCell ref="N182:O182"/>
    <mergeCell ref="D183:I183"/>
    <mergeCell ref="N183:O183"/>
    <mergeCell ref="P183:Q183"/>
    <mergeCell ref="N179:O179"/>
    <mergeCell ref="P179:Q179"/>
    <mergeCell ref="N180:O180"/>
    <mergeCell ref="P180:Q180"/>
    <mergeCell ref="N181:O181"/>
    <mergeCell ref="P181:Q181"/>
    <mergeCell ref="N49:O49"/>
    <mergeCell ref="P49:Q49"/>
    <mergeCell ref="O154:P154"/>
    <mergeCell ref="O155:P155"/>
    <mergeCell ref="P103:Q103"/>
    <mergeCell ref="N45:Q45"/>
    <mergeCell ref="N46:O46"/>
    <mergeCell ref="P46:Q46"/>
    <mergeCell ref="N47:O47"/>
    <mergeCell ref="P47:Q47"/>
    <mergeCell ref="N48:O48"/>
    <mergeCell ref="P48:Q48"/>
    <mergeCell ref="N99:Q99"/>
    <mergeCell ref="N100:O100"/>
    <mergeCell ref="P100:Q100"/>
    <mergeCell ref="N101:O101"/>
    <mergeCell ref="P101:Q101"/>
    <mergeCell ref="N102:O102"/>
    <mergeCell ref="P102:Q102"/>
    <mergeCell ref="N103:O103"/>
    <mergeCell ref="O91:P91"/>
    <mergeCell ref="O92:P92"/>
    <mergeCell ref="O93:P93"/>
    <mergeCell ref="N129:O129"/>
    <mergeCell ref="P129:Q129"/>
    <mergeCell ref="P133:Q133"/>
    <mergeCell ref="D134:I134"/>
    <mergeCell ref="N134:O134"/>
    <mergeCell ref="P134:Q134"/>
    <mergeCell ref="N120:O120"/>
    <mergeCell ref="P120:Q120"/>
    <mergeCell ref="N122:O122"/>
    <mergeCell ref="P122:Q122"/>
    <mergeCell ref="N123:O123"/>
    <mergeCell ref="P123:Q123"/>
    <mergeCell ref="N126:O126"/>
    <mergeCell ref="P126:Q126"/>
    <mergeCell ref="N128:O128"/>
    <mergeCell ref="P128:Q128"/>
    <mergeCell ref="P124:Q124"/>
    <mergeCell ref="N125:O125"/>
    <mergeCell ref="P125:Q125"/>
    <mergeCell ref="N106:Q106"/>
    <mergeCell ref="N107:O107"/>
    <mergeCell ref="P107:Q107"/>
    <mergeCell ref="N108:O108"/>
    <mergeCell ref="P108:Q108"/>
    <mergeCell ref="N109:O109"/>
    <mergeCell ref="P109:Q109"/>
    <mergeCell ref="N110:O110"/>
    <mergeCell ref="P110:Q110"/>
    <mergeCell ref="D119:I119"/>
    <mergeCell ref="N119:O119"/>
    <mergeCell ref="P119:Q119"/>
    <mergeCell ref="D120:I120"/>
    <mergeCell ref="N118:O118"/>
    <mergeCell ref="P118:Q118"/>
    <mergeCell ref="N111:O111"/>
    <mergeCell ref="P111:Q111"/>
    <mergeCell ref="N112:O112"/>
    <mergeCell ref="P112:Q112"/>
    <mergeCell ref="N113:O113"/>
    <mergeCell ref="P113:Q113"/>
    <mergeCell ref="N116:O116"/>
    <mergeCell ref="P116:Q116"/>
    <mergeCell ref="N117:O117"/>
    <mergeCell ref="P117:Q117"/>
    <mergeCell ref="P83:Q83"/>
    <mergeCell ref="D84:I84"/>
    <mergeCell ref="N84:O84"/>
    <mergeCell ref="P84:Q84"/>
    <mergeCell ref="N76:O76"/>
    <mergeCell ref="P76:Q76"/>
    <mergeCell ref="N78:O78"/>
    <mergeCell ref="P78:Q78"/>
    <mergeCell ref="N79:O79"/>
    <mergeCell ref="P79:Q79"/>
    <mergeCell ref="N80:O80"/>
    <mergeCell ref="P80:Q80"/>
    <mergeCell ref="N81:O81"/>
    <mergeCell ref="P81:Q81"/>
    <mergeCell ref="N82:O82"/>
    <mergeCell ref="P82:Q82"/>
    <mergeCell ref="N72:O72"/>
    <mergeCell ref="P72:Q72"/>
    <mergeCell ref="N73:O73"/>
    <mergeCell ref="P73:Q73"/>
    <mergeCell ref="P74:Q74"/>
    <mergeCell ref="N75:O75"/>
    <mergeCell ref="P75:Q75"/>
    <mergeCell ref="D69:I69"/>
    <mergeCell ref="N69:O69"/>
    <mergeCell ref="P69:Q69"/>
    <mergeCell ref="D70:I70"/>
    <mergeCell ref="N70:O70"/>
    <mergeCell ref="P70:Q70"/>
    <mergeCell ref="N56:Q56"/>
    <mergeCell ref="N57:O57"/>
    <mergeCell ref="P57:Q57"/>
    <mergeCell ref="N58:O58"/>
    <mergeCell ref="P58:Q58"/>
    <mergeCell ref="N59:O59"/>
    <mergeCell ref="P59:Q59"/>
    <mergeCell ref="N60:O60"/>
    <mergeCell ref="O315:P315"/>
    <mergeCell ref="N66:O66"/>
    <mergeCell ref="C140:Q146"/>
    <mergeCell ref="C202:Q208"/>
    <mergeCell ref="P66:Q66"/>
    <mergeCell ref="N67:O67"/>
    <mergeCell ref="P67:Q67"/>
    <mergeCell ref="N68:O68"/>
    <mergeCell ref="P68:Q68"/>
    <mergeCell ref="P60:Q60"/>
    <mergeCell ref="N61:O61"/>
    <mergeCell ref="P61:Q61"/>
    <mergeCell ref="N62:O62"/>
    <mergeCell ref="P62:Q62"/>
    <mergeCell ref="N63:O63"/>
    <mergeCell ref="P63:Q63"/>
    <mergeCell ref="P326:Q326"/>
    <mergeCell ref="N335:O335"/>
    <mergeCell ref="P335:Q335"/>
    <mergeCell ref="N336:O336"/>
    <mergeCell ref="P336:Q336"/>
    <mergeCell ref="N337:O337"/>
    <mergeCell ref="P337:Q337"/>
    <mergeCell ref="P333:Q333"/>
    <mergeCell ref="N334:O334"/>
    <mergeCell ref="N340:O340"/>
    <mergeCell ref="P340:Q340"/>
    <mergeCell ref="N341:O341"/>
    <mergeCell ref="P341:Q341"/>
    <mergeCell ref="N342:O342"/>
    <mergeCell ref="P342:Q342"/>
    <mergeCell ref="D343:I343"/>
    <mergeCell ref="N343:O343"/>
    <mergeCell ref="P343:Q343"/>
    <mergeCell ref="D344:I344"/>
    <mergeCell ref="N344:O344"/>
    <mergeCell ref="P344:Q344"/>
    <mergeCell ref="N346:O346"/>
    <mergeCell ref="P346:Q346"/>
    <mergeCell ref="N347:O347"/>
    <mergeCell ref="P347:Q347"/>
    <mergeCell ref="P348:Q348"/>
    <mergeCell ref="N349:O349"/>
    <mergeCell ref="P349:Q349"/>
    <mergeCell ref="N350:O350"/>
    <mergeCell ref="P350:Q350"/>
    <mergeCell ref="N352:O352"/>
    <mergeCell ref="P352:Q352"/>
    <mergeCell ref="N353:O353"/>
    <mergeCell ref="P353:Q353"/>
    <mergeCell ref="P357:Q357"/>
    <mergeCell ref="D358:I358"/>
    <mergeCell ref="N358:O358"/>
    <mergeCell ref="P358:Q358"/>
    <mergeCell ref="N354:O354"/>
    <mergeCell ref="P354:Q354"/>
    <mergeCell ref="N355:O355"/>
    <mergeCell ref="P355:Q355"/>
    <mergeCell ref="N356:O356"/>
    <mergeCell ref="P356:Q356"/>
    <mergeCell ref="O541:P541"/>
    <mergeCell ref="O542:P542"/>
    <mergeCell ref="O540:P540"/>
    <mergeCell ref="N406:O406"/>
    <mergeCell ref="P406:Q406"/>
    <mergeCell ref="N408:O408"/>
    <mergeCell ref="P408:Q408"/>
    <mergeCell ref="N409:O409"/>
    <mergeCell ref="P409:Q409"/>
    <mergeCell ref="P521:Q521"/>
    <mergeCell ref="P520:Q520"/>
    <mergeCell ref="N435:O435"/>
    <mergeCell ref="P435:Q435"/>
    <mergeCell ref="N436:O436"/>
    <mergeCell ref="P436:Q436"/>
    <mergeCell ref="N437:O437"/>
    <mergeCell ref="P437:Q437"/>
    <mergeCell ref="N497:O497"/>
    <mergeCell ref="P497:Q497"/>
    <mergeCell ref="N498:O498"/>
    <mergeCell ref="P498:Q498"/>
    <mergeCell ref="N499:O499"/>
    <mergeCell ref="P499:Q499"/>
    <mergeCell ref="N500:O500"/>
    <mergeCell ref="D522:I522"/>
    <mergeCell ref="N522:O522"/>
    <mergeCell ref="P522:Q522"/>
    <mergeCell ref="D508:I508"/>
    <mergeCell ref="N508:O508"/>
    <mergeCell ref="P508:Q508"/>
    <mergeCell ref="N510:O510"/>
    <mergeCell ref="P510:Q510"/>
    <mergeCell ref="N511:O511"/>
    <mergeCell ref="P511:Q511"/>
    <mergeCell ref="P512:Q512"/>
    <mergeCell ref="N513:O513"/>
    <mergeCell ref="P513:Q513"/>
    <mergeCell ref="N514:O514"/>
    <mergeCell ref="P514:Q514"/>
    <mergeCell ref="N516:O516"/>
    <mergeCell ref="P516:Q516"/>
    <mergeCell ref="N517:O517"/>
    <mergeCell ref="P517:Q517"/>
    <mergeCell ref="N518:O518"/>
    <mergeCell ref="P518:Q518"/>
    <mergeCell ref="N519:O519"/>
    <mergeCell ref="P519:Q519"/>
    <mergeCell ref="N520:O520"/>
    <mergeCell ref="P500:Q500"/>
    <mergeCell ref="P416:Q416"/>
    <mergeCell ref="P422:Q422"/>
    <mergeCell ref="N422:O422"/>
    <mergeCell ref="D507:I507"/>
    <mergeCell ref="N507:O507"/>
    <mergeCell ref="P507:Q507"/>
    <mergeCell ref="N501:O501"/>
    <mergeCell ref="P501:Q501"/>
    <mergeCell ref="N504:O504"/>
    <mergeCell ref="P504:Q504"/>
    <mergeCell ref="N505:O505"/>
    <mergeCell ref="P505:Q505"/>
    <mergeCell ref="N506:O506"/>
    <mergeCell ref="P506:Q506"/>
    <mergeCell ref="N496:O496"/>
    <mergeCell ref="P496:Q496"/>
    <mergeCell ref="P489:Q489"/>
    <mergeCell ref="N490:O490"/>
    <mergeCell ref="P490:Q490"/>
    <mergeCell ref="N491:O491"/>
    <mergeCell ref="P491:Q491"/>
    <mergeCell ref="N492:O492"/>
    <mergeCell ref="P492:Q492"/>
    <mergeCell ref="N494:Q494"/>
    <mergeCell ref="N495:O495"/>
    <mergeCell ref="P495:Q495"/>
    <mergeCell ref="L465:O465"/>
    <mergeCell ref="P465:S465"/>
    <mergeCell ref="L472:O472"/>
    <mergeCell ref="P472:S472"/>
    <mergeCell ref="L473:O473"/>
    <mergeCell ref="P473:S473"/>
    <mergeCell ref="N488:Q488"/>
    <mergeCell ref="N489:O489"/>
    <mergeCell ref="O376:P376"/>
    <mergeCell ref="L381:O381"/>
    <mergeCell ref="P381:S381"/>
    <mergeCell ref="L382:O382"/>
    <mergeCell ref="P382:S382"/>
    <mergeCell ref="N418:O418"/>
    <mergeCell ref="P418:Q418"/>
    <mergeCell ref="N421:O421"/>
    <mergeCell ref="P421:Q421"/>
    <mergeCell ref="L389:O389"/>
    <mergeCell ref="P389:S389"/>
    <mergeCell ref="L390:O390"/>
    <mergeCell ref="P390:S390"/>
    <mergeCell ref="N405:Q405"/>
    <mergeCell ref="N407:O407"/>
    <mergeCell ref="P407:Q407"/>
    <mergeCell ref="N411:Q411"/>
    <mergeCell ref="P438:Q438"/>
    <mergeCell ref="D439:I439"/>
    <mergeCell ref="N439:O439"/>
    <mergeCell ref="P439:Q439"/>
    <mergeCell ref="O457:P457"/>
    <mergeCell ref="O458:P458"/>
    <mergeCell ref="O459:P459"/>
    <mergeCell ref="L464:O464"/>
    <mergeCell ref="P464:S464"/>
    <mergeCell ref="N664:O664"/>
    <mergeCell ref="P664:Q664"/>
    <mergeCell ref="N665:O665"/>
    <mergeCell ref="P665:Q665"/>
    <mergeCell ref="P669:Q669"/>
    <mergeCell ref="D592:I592"/>
    <mergeCell ref="D670:I670"/>
    <mergeCell ref="N670:O670"/>
    <mergeCell ref="P670:Q670"/>
    <mergeCell ref="N640:O640"/>
    <mergeCell ref="P640:Q640"/>
    <mergeCell ref="N659:O659"/>
    <mergeCell ref="P659:Q659"/>
    <mergeCell ref="P660:Q660"/>
    <mergeCell ref="N661:O661"/>
    <mergeCell ref="P661:Q661"/>
    <mergeCell ref="N662:O662"/>
    <mergeCell ref="P662:Q662"/>
    <mergeCell ref="N666:O666"/>
    <mergeCell ref="N667:O667"/>
    <mergeCell ref="N668:O668"/>
    <mergeCell ref="P666:Q666"/>
    <mergeCell ref="P667:Q667"/>
    <mergeCell ref="P668:Q668"/>
    <mergeCell ref="D591:I591"/>
    <mergeCell ref="D656:I656"/>
    <mergeCell ref="N656:O656"/>
    <mergeCell ref="P656:Q656"/>
    <mergeCell ref="N601:O601"/>
    <mergeCell ref="P601:Q601"/>
    <mergeCell ref="P605:Q605"/>
    <mergeCell ref="N600:O600"/>
    <mergeCell ref="P600:Q600"/>
    <mergeCell ref="D655:I655"/>
    <mergeCell ref="N655:O655"/>
    <mergeCell ref="P655:Q655"/>
    <mergeCell ref="N653:O653"/>
    <mergeCell ref="P653:Q653"/>
    <mergeCell ref="N654:O654"/>
    <mergeCell ref="P654:Q654"/>
    <mergeCell ref="N649:O649"/>
    <mergeCell ref="P649:Q649"/>
    <mergeCell ref="N652:O652"/>
    <mergeCell ref="P652:Q652"/>
    <mergeCell ref="D606:I606"/>
    <mergeCell ref="N636:Q636"/>
    <mergeCell ref="N637:O637"/>
    <mergeCell ref="N647:O647"/>
    <mergeCell ref="N585:O585"/>
    <mergeCell ref="P585:Q585"/>
    <mergeCell ref="N588:O588"/>
    <mergeCell ref="P588:Q588"/>
    <mergeCell ref="N645:O645"/>
    <mergeCell ref="P645:Q645"/>
    <mergeCell ref="N639:O639"/>
    <mergeCell ref="P639:Q639"/>
    <mergeCell ref="N642:Q642"/>
    <mergeCell ref="N643:O643"/>
    <mergeCell ref="P643:Q643"/>
    <mergeCell ref="P596:Q596"/>
    <mergeCell ref="N597:O597"/>
    <mergeCell ref="P597:Q597"/>
    <mergeCell ref="N589:O589"/>
    <mergeCell ref="P589:Q589"/>
    <mergeCell ref="N590:O590"/>
    <mergeCell ref="P590:Q590"/>
    <mergeCell ref="N606:O606"/>
    <mergeCell ref="P606:Q606"/>
    <mergeCell ref="N598:O598"/>
    <mergeCell ref="P598:Q598"/>
    <mergeCell ref="L621:O621"/>
    <mergeCell ref="P621:S621"/>
    <mergeCell ref="N580:O580"/>
    <mergeCell ref="P580:Q580"/>
    <mergeCell ref="N581:O581"/>
    <mergeCell ref="P581:Q581"/>
    <mergeCell ref="L612:O612"/>
    <mergeCell ref="P612:S612"/>
    <mergeCell ref="L613:O613"/>
    <mergeCell ref="P613:S613"/>
    <mergeCell ref="L620:O620"/>
    <mergeCell ref="P620:S620"/>
    <mergeCell ref="N592:O592"/>
    <mergeCell ref="P592:Q592"/>
    <mergeCell ref="N594:O594"/>
    <mergeCell ref="P594:Q594"/>
    <mergeCell ref="N595:O595"/>
    <mergeCell ref="P595:Q595"/>
    <mergeCell ref="N591:O591"/>
    <mergeCell ref="P591:Q591"/>
    <mergeCell ref="N584:O584"/>
    <mergeCell ref="P584:Q584"/>
    <mergeCell ref="N582:O582"/>
    <mergeCell ref="P582:Q582"/>
    <mergeCell ref="N583:O583"/>
    <mergeCell ref="P583:Q583"/>
    <mergeCell ref="L556:O556"/>
    <mergeCell ref="P556:S556"/>
    <mergeCell ref="L557:O557"/>
    <mergeCell ref="P557:S557"/>
    <mergeCell ref="N572:Q572"/>
    <mergeCell ref="N574:O574"/>
    <mergeCell ref="P574:Q574"/>
    <mergeCell ref="N578:Q578"/>
    <mergeCell ref="N579:O579"/>
    <mergeCell ref="P579:Q579"/>
    <mergeCell ref="N576:O576"/>
    <mergeCell ref="P576:Q576"/>
    <mergeCell ref="N573:O573"/>
    <mergeCell ref="P573:Q573"/>
    <mergeCell ref="N575:O575"/>
    <mergeCell ref="P575:Q575"/>
    <mergeCell ref="L549:O549"/>
    <mergeCell ref="P549:S549"/>
    <mergeCell ref="N325:O325"/>
    <mergeCell ref="P325:Q325"/>
    <mergeCell ref="N327:O327"/>
    <mergeCell ref="P327:Q327"/>
    <mergeCell ref="P429:Q429"/>
    <mergeCell ref="N430:O430"/>
    <mergeCell ref="P430:Q430"/>
    <mergeCell ref="N431:O431"/>
    <mergeCell ref="P431:Q431"/>
    <mergeCell ref="N433:O433"/>
    <mergeCell ref="P433:Q433"/>
    <mergeCell ref="N434:O434"/>
    <mergeCell ref="P434:Q434"/>
    <mergeCell ref="N417:O417"/>
    <mergeCell ref="P417:Q417"/>
    <mergeCell ref="O543:P543"/>
    <mergeCell ref="N424:O424"/>
    <mergeCell ref="P424:Q424"/>
    <mergeCell ref="N425:O425"/>
    <mergeCell ref="P425:Q425"/>
    <mergeCell ref="N427:O427"/>
    <mergeCell ref="P427:Q427"/>
    <mergeCell ref="N51:Q51"/>
    <mergeCell ref="N52:O52"/>
    <mergeCell ref="P52:Q52"/>
    <mergeCell ref="N53:O53"/>
    <mergeCell ref="P53:Q53"/>
    <mergeCell ref="L548:O548"/>
    <mergeCell ref="P548:S548"/>
    <mergeCell ref="D424:I424"/>
    <mergeCell ref="D425:I425"/>
    <mergeCell ref="N428:O428"/>
    <mergeCell ref="P428:Q428"/>
    <mergeCell ref="N423:O423"/>
    <mergeCell ref="P423:Q423"/>
    <mergeCell ref="N412:O412"/>
    <mergeCell ref="P412:Q412"/>
    <mergeCell ref="N413:O413"/>
    <mergeCell ref="P413:Q413"/>
    <mergeCell ref="N414:O414"/>
    <mergeCell ref="P414:Q414"/>
    <mergeCell ref="N415:O415"/>
    <mergeCell ref="P415:Q415"/>
    <mergeCell ref="N416:O416"/>
    <mergeCell ref="O374:P374"/>
    <mergeCell ref="O375:P375"/>
    <mergeCell ref="N602:O602"/>
    <mergeCell ref="P602:Q602"/>
    <mergeCell ref="N603:O603"/>
    <mergeCell ref="P603:Q603"/>
    <mergeCell ref="N604:O604"/>
    <mergeCell ref="P604:Q604"/>
    <mergeCell ref="N658:O658"/>
    <mergeCell ref="P658:Q658"/>
    <mergeCell ref="P647:Q647"/>
    <mergeCell ref="N648:O648"/>
    <mergeCell ref="P648:Q648"/>
    <mergeCell ref="N644:O644"/>
    <mergeCell ref="P644:Q644"/>
    <mergeCell ref="N646:O646"/>
    <mergeCell ref="P646:Q646"/>
    <mergeCell ref="P637:Q637"/>
    <mergeCell ref="N638:O638"/>
    <mergeCell ref="P638:Q638"/>
    <mergeCell ref="N292:O292"/>
    <mergeCell ref="P292:Q292"/>
    <mergeCell ref="N293:O293"/>
    <mergeCell ref="P293:Q293"/>
    <mergeCell ref="N294:O294"/>
    <mergeCell ref="P294:Q294"/>
    <mergeCell ref="N253:O253"/>
    <mergeCell ref="P253:Q253"/>
    <mergeCell ref="N254:O254"/>
    <mergeCell ref="P254:Q254"/>
    <mergeCell ref="N255:O255"/>
    <mergeCell ref="P255:Q255"/>
    <mergeCell ref="N265:O265"/>
    <mergeCell ref="P265:Q265"/>
    <mergeCell ref="N268:Q268"/>
    <mergeCell ref="N269:O269"/>
    <mergeCell ref="P269:Q269"/>
    <mergeCell ref="N270:O270"/>
    <mergeCell ref="P270:Q270"/>
    <mergeCell ref="N271:O271"/>
    <mergeCell ref="P271:Q271"/>
    <mergeCell ref="N193:O193"/>
    <mergeCell ref="P193:Q193"/>
    <mergeCell ref="N194:O194"/>
    <mergeCell ref="P194:Q194"/>
    <mergeCell ref="N195:O195"/>
    <mergeCell ref="P195:Q195"/>
    <mergeCell ref="N130:O130"/>
    <mergeCell ref="P130:Q130"/>
    <mergeCell ref="N131:O131"/>
    <mergeCell ref="P131:Q131"/>
    <mergeCell ref="N132:O132"/>
    <mergeCell ref="P132:Q132"/>
    <mergeCell ref="N169:Q169"/>
    <mergeCell ref="N170:O170"/>
    <mergeCell ref="P170:Q170"/>
    <mergeCell ref="O156:P156"/>
    <mergeCell ref="N162:Q162"/>
    <mergeCell ref="N163:O163"/>
    <mergeCell ref="P163:Q163"/>
    <mergeCell ref="N164:O164"/>
    <mergeCell ref="P164:Q164"/>
  </mergeCells>
  <pageMargins left="0.42" right="0.5" top="0.75" bottom="0.75" header="0.5" footer="0.5"/>
  <pageSetup scale="62" orientation="landscape" horizontalDpi="300" verticalDpi="300"/>
  <headerFooter alignWithMargins="0"/>
  <ignoredErrors>
    <ignoredError sqref="L25:O25 L32:L39 L40:O40 M32:M39 N32:N37 N38:N39 O32:O39" unlocked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zoomScale="85" zoomScaleNormal="85" zoomScalePageLayoutView="85" workbookViewId="0"/>
  </sheetViews>
  <sheetFormatPr defaultColWidth="0" defaultRowHeight="12.75" customHeight="1" zeroHeight="1" outlineLevelRow="1" x14ac:dyDescent="0.25"/>
  <cols>
    <col min="1" max="5" width="2.6640625" style="734" customWidth="1"/>
    <col min="6" max="7" width="12.6640625" style="734" customWidth="1"/>
    <col min="8" max="8" width="17.109375" style="734" customWidth="1"/>
    <col min="9" max="12" width="12.6640625" style="734" customWidth="1"/>
    <col min="13" max="13" width="2.33203125" style="734" customWidth="1"/>
    <col min="14" max="38" width="12.6640625" style="734" customWidth="1"/>
    <col min="39" max="39" width="2.44140625" style="734" customWidth="1"/>
    <col min="40" max="280" width="0" style="734" hidden="1"/>
    <col min="281" max="281" width="3.33203125" style="734" hidden="1" customWidth="1"/>
    <col min="282" max="284" width="2.6640625" style="734" hidden="1" customWidth="1"/>
    <col min="285" max="294" width="12.6640625" style="734" hidden="1" customWidth="1"/>
    <col min="295" max="295" width="2.6640625" style="734" hidden="1" customWidth="1"/>
    <col min="296" max="536" width="0" style="734" hidden="1"/>
    <col min="537" max="537" width="3.33203125" style="734" hidden="1" customWidth="1"/>
    <col min="538" max="540" width="2.6640625" style="734" hidden="1" customWidth="1"/>
    <col min="541" max="550" width="12.6640625" style="734" hidden="1" customWidth="1"/>
    <col min="551" max="551" width="2.6640625" style="734" hidden="1" customWidth="1"/>
    <col min="552" max="792" width="0" style="734" hidden="1"/>
    <col min="793" max="793" width="3.33203125" style="734" hidden="1" customWidth="1"/>
    <col min="794" max="796" width="2.6640625" style="734" hidden="1" customWidth="1"/>
    <col min="797" max="806" width="12.6640625" style="734" hidden="1" customWidth="1"/>
    <col min="807" max="807" width="2.6640625" style="734" hidden="1" customWidth="1"/>
    <col min="808" max="1048" width="0" style="734" hidden="1"/>
    <col min="1049" max="1049" width="3.33203125" style="734" hidden="1" customWidth="1"/>
    <col min="1050" max="1052" width="2.6640625" style="734" hidden="1" customWidth="1"/>
    <col min="1053" max="1062" width="12.6640625" style="734" hidden="1" customWidth="1"/>
    <col min="1063" max="1063" width="2.6640625" style="734" hidden="1" customWidth="1"/>
    <col min="1064" max="1304" width="0" style="734" hidden="1"/>
    <col min="1305" max="1305" width="3.33203125" style="734" hidden="1" customWidth="1"/>
    <col min="1306" max="1308" width="2.6640625" style="734" hidden="1" customWidth="1"/>
    <col min="1309" max="1318" width="12.6640625" style="734" hidden="1" customWidth="1"/>
    <col min="1319" max="1319" width="2.6640625" style="734" hidden="1" customWidth="1"/>
    <col min="1320" max="1560" width="0" style="734" hidden="1"/>
    <col min="1561" max="1561" width="3.33203125" style="734" hidden="1" customWidth="1"/>
    <col min="1562" max="1564" width="2.6640625" style="734" hidden="1" customWidth="1"/>
    <col min="1565" max="1574" width="12.6640625" style="734" hidden="1" customWidth="1"/>
    <col min="1575" max="1575" width="2.6640625" style="734" hidden="1" customWidth="1"/>
    <col min="1576" max="1816" width="0" style="734" hidden="1"/>
    <col min="1817" max="1817" width="3.33203125" style="734" hidden="1" customWidth="1"/>
    <col min="1818" max="1820" width="2.6640625" style="734" hidden="1" customWidth="1"/>
    <col min="1821" max="1830" width="12.6640625" style="734" hidden="1" customWidth="1"/>
    <col min="1831" max="1831" width="2.6640625" style="734" hidden="1" customWidth="1"/>
    <col min="1832" max="2072" width="0" style="734" hidden="1"/>
    <col min="2073" max="2073" width="3.33203125" style="734" hidden="1" customWidth="1"/>
    <col min="2074" max="2076" width="2.6640625" style="734" hidden="1" customWidth="1"/>
    <col min="2077" max="2086" width="12.6640625" style="734" hidden="1" customWidth="1"/>
    <col min="2087" max="2087" width="2.6640625" style="734" hidden="1" customWidth="1"/>
    <col min="2088" max="2328" width="0" style="734" hidden="1"/>
    <col min="2329" max="2329" width="3.33203125" style="734" hidden="1" customWidth="1"/>
    <col min="2330" max="2332" width="2.6640625" style="734" hidden="1" customWidth="1"/>
    <col min="2333" max="2342" width="12.6640625" style="734" hidden="1" customWidth="1"/>
    <col min="2343" max="2343" width="2.6640625" style="734" hidden="1" customWidth="1"/>
    <col min="2344" max="2584" width="0" style="734" hidden="1"/>
    <col min="2585" max="2585" width="3.33203125" style="734" hidden="1" customWidth="1"/>
    <col min="2586" max="2588" width="2.6640625" style="734" hidden="1" customWidth="1"/>
    <col min="2589" max="2598" width="12.6640625" style="734" hidden="1" customWidth="1"/>
    <col min="2599" max="2599" width="2.6640625" style="734" hidden="1" customWidth="1"/>
    <col min="2600" max="2840" width="0" style="734" hidden="1"/>
    <col min="2841" max="2841" width="3.33203125" style="734" hidden="1" customWidth="1"/>
    <col min="2842" max="2844" width="2.6640625" style="734" hidden="1" customWidth="1"/>
    <col min="2845" max="2854" width="12.6640625" style="734" hidden="1" customWidth="1"/>
    <col min="2855" max="2855" width="2.6640625" style="734" hidden="1" customWidth="1"/>
    <col min="2856" max="3096" width="0" style="734" hidden="1"/>
    <col min="3097" max="3097" width="3.33203125" style="734" hidden="1" customWidth="1"/>
    <col min="3098" max="3100" width="2.6640625" style="734" hidden="1" customWidth="1"/>
    <col min="3101" max="3110" width="12.6640625" style="734" hidden="1" customWidth="1"/>
    <col min="3111" max="3111" width="2.6640625" style="734" hidden="1" customWidth="1"/>
    <col min="3112" max="3352" width="0" style="734" hidden="1"/>
    <col min="3353" max="3353" width="3.33203125" style="734" hidden="1" customWidth="1"/>
    <col min="3354" max="3356" width="2.6640625" style="734" hidden="1" customWidth="1"/>
    <col min="3357" max="3366" width="12.6640625" style="734" hidden="1" customWidth="1"/>
    <col min="3367" max="3367" width="2.6640625" style="734" hidden="1" customWidth="1"/>
    <col min="3368" max="3608" width="0" style="734" hidden="1"/>
    <col min="3609" max="3609" width="3.33203125" style="734" hidden="1" customWidth="1"/>
    <col min="3610" max="3612" width="2.6640625" style="734" hidden="1" customWidth="1"/>
    <col min="3613" max="3622" width="12.6640625" style="734" hidden="1" customWidth="1"/>
    <col min="3623" max="3623" width="2.6640625" style="734" hidden="1" customWidth="1"/>
    <col min="3624" max="3864" width="0" style="734" hidden="1"/>
    <col min="3865" max="3865" width="3.33203125" style="734" hidden="1" customWidth="1"/>
    <col min="3866" max="3868" width="2.6640625" style="734" hidden="1" customWidth="1"/>
    <col min="3869" max="3878" width="12.6640625" style="734" hidden="1" customWidth="1"/>
    <col min="3879" max="3879" width="2.6640625" style="734" hidden="1" customWidth="1"/>
    <col min="3880" max="4120" width="0" style="734" hidden="1"/>
    <col min="4121" max="4121" width="3.33203125" style="734" hidden="1" customWidth="1"/>
    <col min="4122" max="4124" width="2.6640625" style="734" hidden="1" customWidth="1"/>
    <col min="4125" max="4134" width="12.6640625" style="734" hidden="1" customWidth="1"/>
    <col min="4135" max="4135" width="2.6640625" style="734" hidden="1" customWidth="1"/>
    <col min="4136" max="4376" width="0" style="734" hidden="1"/>
    <col min="4377" max="4377" width="3.33203125" style="734" hidden="1" customWidth="1"/>
    <col min="4378" max="4380" width="2.6640625" style="734" hidden="1" customWidth="1"/>
    <col min="4381" max="4390" width="12.6640625" style="734" hidden="1" customWidth="1"/>
    <col min="4391" max="4391" width="2.6640625" style="734" hidden="1" customWidth="1"/>
    <col min="4392" max="4632" width="0" style="734" hidden="1"/>
    <col min="4633" max="4633" width="3.33203125" style="734" hidden="1" customWidth="1"/>
    <col min="4634" max="4636" width="2.6640625" style="734" hidden="1" customWidth="1"/>
    <col min="4637" max="4646" width="12.6640625" style="734" hidden="1" customWidth="1"/>
    <col min="4647" max="4647" width="2.6640625" style="734" hidden="1" customWidth="1"/>
    <col min="4648" max="4888" width="0" style="734" hidden="1"/>
    <col min="4889" max="4889" width="3.33203125" style="734" hidden="1" customWidth="1"/>
    <col min="4890" max="4892" width="2.6640625" style="734" hidden="1" customWidth="1"/>
    <col min="4893" max="4902" width="12.6640625" style="734" hidden="1" customWidth="1"/>
    <col min="4903" max="4903" width="2.6640625" style="734" hidden="1" customWidth="1"/>
    <col min="4904" max="5144" width="0" style="734" hidden="1"/>
    <col min="5145" max="5145" width="3.33203125" style="734" hidden="1" customWidth="1"/>
    <col min="5146" max="5148" width="2.6640625" style="734" hidden="1" customWidth="1"/>
    <col min="5149" max="5158" width="12.6640625" style="734" hidden="1" customWidth="1"/>
    <col min="5159" max="5159" width="2.6640625" style="734" hidden="1" customWidth="1"/>
    <col min="5160" max="5400" width="0" style="734" hidden="1"/>
    <col min="5401" max="5401" width="3.33203125" style="734" hidden="1" customWidth="1"/>
    <col min="5402" max="5404" width="2.6640625" style="734" hidden="1" customWidth="1"/>
    <col min="5405" max="5414" width="12.6640625" style="734" hidden="1" customWidth="1"/>
    <col min="5415" max="5415" width="2.6640625" style="734" hidden="1" customWidth="1"/>
    <col min="5416" max="5656" width="0" style="734" hidden="1"/>
    <col min="5657" max="5657" width="3.33203125" style="734" hidden="1" customWidth="1"/>
    <col min="5658" max="5660" width="2.6640625" style="734" hidden="1" customWidth="1"/>
    <col min="5661" max="5670" width="12.6640625" style="734" hidden="1" customWidth="1"/>
    <col min="5671" max="5671" width="2.6640625" style="734" hidden="1" customWidth="1"/>
    <col min="5672" max="5912" width="0" style="734" hidden="1"/>
    <col min="5913" max="5913" width="3.33203125" style="734" hidden="1" customWidth="1"/>
    <col min="5914" max="5916" width="2.6640625" style="734" hidden="1" customWidth="1"/>
    <col min="5917" max="5926" width="12.6640625" style="734" hidden="1" customWidth="1"/>
    <col min="5927" max="5927" width="2.6640625" style="734" hidden="1" customWidth="1"/>
    <col min="5928" max="6168" width="0" style="734" hidden="1"/>
    <col min="6169" max="6169" width="3.33203125" style="734" hidden="1" customWidth="1"/>
    <col min="6170" max="6172" width="2.6640625" style="734" hidden="1" customWidth="1"/>
    <col min="6173" max="6182" width="12.6640625" style="734" hidden="1" customWidth="1"/>
    <col min="6183" max="6183" width="2.6640625" style="734" hidden="1" customWidth="1"/>
    <col min="6184" max="6424" width="0" style="734" hidden="1"/>
    <col min="6425" max="6425" width="3.33203125" style="734" hidden="1" customWidth="1"/>
    <col min="6426" max="6428" width="2.6640625" style="734" hidden="1" customWidth="1"/>
    <col min="6429" max="6438" width="12.6640625" style="734" hidden="1" customWidth="1"/>
    <col min="6439" max="6439" width="2.6640625" style="734" hidden="1" customWidth="1"/>
    <col min="6440" max="6680" width="0" style="734" hidden="1"/>
    <col min="6681" max="6681" width="3.33203125" style="734" hidden="1" customWidth="1"/>
    <col min="6682" max="6684" width="2.6640625" style="734" hidden="1" customWidth="1"/>
    <col min="6685" max="6694" width="12.6640625" style="734" hidden="1" customWidth="1"/>
    <col min="6695" max="6695" width="2.6640625" style="734" hidden="1" customWidth="1"/>
    <col min="6696" max="6936" width="0" style="734" hidden="1"/>
    <col min="6937" max="6937" width="3.33203125" style="734" hidden="1" customWidth="1"/>
    <col min="6938" max="6940" width="2.6640625" style="734" hidden="1" customWidth="1"/>
    <col min="6941" max="6950" width="12.6640625" style="734" hidden="1" customWidth="1"/>
    <col min="6951" max="6951" width="2.6640625" style="734" hidden="1" customWidth="1"/>
    <col min="6952" max="7192" width="0" style="734" hidden="1"/>
    <col min="7193" max="7193" width="3.33203125" style="734" hidden="1" customWidth="1"/>
    <col min="7194" max="7196" width="2.6640625" style="734" hidden="1" customWidth="1"/>
    <col min="7197" max="7206" width="12.6640625" style="734" hidden="1" customWidth="1"/>
    <col min="7207" max="7207" width="2.6640625" style="734" hidden="1" customWidth="1"/>
    <col min="7208" max="7448" width="0" style="734" hidden="1"/>
    <col min="7449" max="7449" width="3.33203125" style="734" hidden="1" customWidth="1"/>
    <col min="7450" max="7452" width="2.6640625" style="734" hidden="1" customWidth="1"/>
    <col min="7453" max="7462" width="12.6640625" style="734" hidden="1" customWidth="1"/>
    <col min="7463" max="7463" width="2.6640625" style="734" hidden="1" customWidth="1"/>
    <col min="7464" max="7704" width="0" style="734" hidden="1"/>
    <col min="7705" max="7705" width="3.33203125" style="734" hidden="1" customWidth="1"/>
    <col min="7706" max="7708" width="2.6640625" style="734" hidden="1" customWidth="1"/>
    <col min="7709" max="7718" width="12.6640625" style="734" hidden="1" customWidth="1"/>
    <col min="7719" max="7719" width="2.6640625" style="734" hidden="1" customWidth="1"/>
    <col min="7720" max="7960" width="0" style="734" hidden="1"/>
    <col min="7961" max="7961" width="3.33203125" style="734" hidden="1" customWidth="1"/>
    <col min="7962" max="7964" width="2.6640625" style="734" hidden="1" customWidth="1"/>
    <col min="7965" max="7974" width="12.6640625" style="734" hidden="1" customWidth="1"/>
    <col min="7975" max="7975" width="2.6640625" style="734" hidden="1" customWidth="1"/>
    <col min="7976" max="8216" width="0" style="734" hidden="1"/>
    <col min="8217" max="8217" width="3.33203125" style="734" hidden="1" customWidth="1"/>
    <col min="8218" max="8220" width="2.6640625" style="734" hidden="1" customWidth="1"/>
    <col min="8221" max="8230" width="12.6640625" style="734" hidden="1" customWidth="1"/>
    <col min="8231" max="8231" width="2.6640625" style="734" hidden="1" customWidth="1"/>
    <col min="8232" max="8472" width="0" style="734" hidden="1"/>
    <col min="8473" max="8473" width="3.33203125" style="734" hidden="1" customWidth="1"/>
    <col min="8474" max="8476" width="2.6640625" style="734" hidden="1" customWidth="1"/>
    <col min="8477" max="8486" width="12.6640625" style="734" hidden="1" customWidth="1"/>
    <col min="8487" max="8487" width="2.6640625" style="734" hidden="1" customWidth="1"/>
    <col min="8488" max="8728" width="0" style="734" hidden="1"/>
    <col min="8729" max="8729" width="3.33203125" style="734" hidden="1" customWidth="1"/>
    <col min="8730" max="8732" width="2.6640625" style="734" hidden="1" customWidth="1"/>
    <col min="8733" max="8742" width="12.6640625" style="734" hidden="1" customWidth="1"/>
    <col min="8743" max="8743" width="2.6640625" style="734" hidden="1" customWidth="1"/>
    <col min="8744" max="8984" width="0" style="734" hidden="1"/>
    <col min="8985" max="8985" width="3.33203125" style="734" hidden="1" customWidth="1"/>
    <col min="8986" max="8988" width="2.6640625" style="734" hidden="1" customWidth="1"/>
    <col min="8989" max="8998" width="12.6640625" style="734" hidden="1" customWidth="1"/>
    <col min="8999" max="8999" width="2.6640625" style="734" hidden="1" customWidth="1"/>
    <col min="9000" max="9240" width="0" style="734" hidden="1"/>
    <col min="9241" max="9241" width="3.33203125" style="734" hidden="1" customWidth="1"/>
    <col min="9242" max="9244" width="2.6640625" style="734" hidden="1" customWidth="1"/>
    <col min="9245" max="9254" width="12.6640625" style="734" hidden="1" customWidth="1"/>
    <col min="9255" max="9255" width="2.6640625" style="734" hidden="1" customWidth="1"/>
    <col min="9256" max="9496" width="0" style="734" hidden="1"/>
    <col min="9497" max="9497" width="3.33203125" style="734" hidden="1" customWidth="1"/>
    <col min="9498" max="9500" width="2.6640625" style="734" hidden="1" customWidth="1"/>
    <col min="9501" max="9510" width="12.6640625" style="734" hidden="1" customWidth="1"/>
    <col min="9511" max="9511" width="2.6640625" style="734" hidden="1" customWidth="1"/>
    <col min="9512" max="9752" width="0" style="734" hidden="1"/>
    <col min="9753" max="9753" width="3.33203125" style="734" hidden="1" customWidth="1"/>
    <col min="9754" max="9756" width="2.6640625" style="734" hidden="1" customWidth="1"/>
    <col min="9757" max="9766" width="12.6640625" style="734" hidden="1" customWidth="1"/>
    <col min="9767" max="9767" width="2.6640625" style="734" hidden="1" customWidth="1"/>
    <col min="9768" max="10008" width="0" style="734" hidden="1"/>
    <col min="10009" max="10009" width="3.33203125" style="734" hidden="1" customWidth="1"/>
    <col min="10010" max="10012" width="2.6640625" style="734" hidden="1" customWidth="1"/>
    <col min="10013" max="10022" width="12.6640625" style="734" hidden="1" customWidth="1"/>
    <col min="10023" max="10023" width="2.6640625" style="734" hidden="1" customWidth="1"/>
    <col min="10024" max="10264" width="0" style="734" hidden="1"/>
    <col min="10265" max="10265" width="3.33203125" style="734" hidden="1" customWidth="1"/>
    <col min="10266" max="10268" width="2.6640625" style="734" hidden="1" customWidth="1"/>
    <col min="10269" max="10278" width="12.6640625" style="734" hidden="1" customWidth="1"/>
    <col min="10279" max="10279" width="2.6640625" style="734" hidden="1" customWidth="1"/>
    <col min="10280" max="10520" width="0" style="734" hidden="1"/>
    <col min="10521" max="10521" width="3.33203125" style="734" hidden="1" customWidth="1"/>
    <col min="10522" max="10524" width="2.6640625" style="734" hidden="1" customWidth="1"/>
    <col min="10525" max="10534" width="12.6640625" style="734" hidden="1" customWidth="1"/>
    <col min="10535" max="10535" width="2.6640625" style="734" hidden="1" customWidth="1"/>
    <col min="10536" max="10776" width="0" style="734" hidden="1"/>
    <col min="10777" max="10777" width="3.33203125" style="734" hidden="1" customWidth="1"/>
    <col min="10778" max="10780" width="2.6640625" style="734" hidden="1" customWidth="1"/>
    <col min="10781" max="10790" width="12.6640625" style="734" hidden="1" customWidth="1"/>
    <col min="10791" max="10791" width="2.6640625" style="734" hidden="1" customWidth="1"/>
    <col min="10792" max="11032" width="0" style="734" hidden="1"/>
    <col min="11033" max="11033" width="3.33203125" style="734" hidden="1" customWidth="1"/>
    <col min="11034" max="11036" width="2.6640625" style="734" hidden="1" customWidth="1"/>
    <col min="11037" max="11046" width="12.6640625" style="734" hidden="1" customWidth="1"/>
    <col min="11047" max="11047" width="2.6640625" style="734" hidden="1" customWidth="1"/>
    <col min="11048" max="11288" width="0" style="734" hidden="1"/>
    <col min="11289" max="11289" width="3.33203125" style="734" hidden="1" customWidth="1"/>
    <col min="11290" max="11292" width="2.6640625" style="734" hidden="1" customWidth="1"/>
    <col min="11293" max="11302" width="12.6640625" style="734" hidden="1" customWidth="1"/>
    <col min="11303" max="11303" width="2.6640625" style="734" hidden="1" customWidth="1"/>
    <col min="11304" max="11544" width="0" style="734" hidden="1"/>
    <col min="11545" max="11545" width="3.33203125" style="734" hidden="1" customWidth="1"/>
    <col min="11546" max="11548" width="2.6640625" style="734" hidden="1" customWidth="1"/>
    <col min="11549" max="11558" width="12.6640625" style="734" hidden="1" customWidth="1"/>
    <col min="11559" max="11559" width="2.6640625" style="734" hidden="1" customWidth="1"/>
    <col min="11560" max="11800" width="0" style="734" hidden="1"/>
    <col min="11801" max="11801" width="3.33203125" style="734" hidden="1" customWidth="1"/>
    <col min="11802" max="11804" width="2.6640625" style="734" hidden="1" customWidth="1"/>
    <col min="11805" max="11814" width="12.6640625" style="734" hidden="1" customWidth="1"/>
    <col min="11815" max="11815" width="2.6640625" style="734" hidden="1" customWidth="1"/>
    <col min="11816" max="12056" width="0" style="734" hidden="1"/>
    <col min="12057" max="12057" width="3.33203125" style="734" hidden="1" customWidth="1"/>
    <col min="12058" max="12060" width="2.6640625" style="734" hidden="1" customWidth="1"/>
    <col min="12061" max="12070" width="12.6640625" style="734" hidden="1" customWidth="1"/>
    <col min="12071" max="12071" width="2.6640625" style="734" hidden="1" customWidth="1"/>
    <col min="12072" max="12312" width="0" style="734" hidden="1"/>
    <col min="12313" max="12313" width="3.33203125" style="734" hidden="1" customWidth="1"/>
    <col min="12314" max="12316" width="2.6640625" style="734" hidden="1" customWidth="1"/>
    <col min="12317" max="12326" width="12.6640625" style="734" hidden="1" customWidth="1"/>
    <col min="12327" max="12327" width="2.6640625" style="734" hidden="1" customWidth="1"/>
    <col min="12328" max="12568" width="0" style="734" hidden="1"/>
    <col min="12569" max="12569" width="3.33203125" style="734" hidden="1" customWidth="1"/>
    <col min="12570" max="12572" width="2.6640625" style="734" hidden="1" customWidth="1"/>
    <col min="12573" max="12582" width="12.6640625" style="734" hidden="1" customWidth="1"/>
    <col min="12583" max="12583" width="2.6640625" style="734" hidden="1" customWidth="1"/>
    <col min="12584" max="12824" width="0" style="734" hidden="1"/>
    <col min="12825" max="12825" width="3.33203125" style="734" hidden="1" customWidth="1"/>
    <col min="12826" max="12828" width="2.6640625" style="734" hidden="1" customWidth="1"/>
    <col min="12829" max="12838" width="12.6640625" style="734" hidden="1" customWidth="1"/>
    <col min="12839" max="12839" width="2.6640625" style="734" hidden="1" customWidth="1"/>
    <col min="12840" max="13080" width="0" style="734" hidden="1"/>
    <col min="13081" max="13081" width="3.33203125" style="734" hidden="1" customWidth="1"/>
    <col min="13082" max="13084" width="2.6640625" style="734" hidden="1" customWidth="1"/>
    <col min="13085" max="13094" width="12.6640625" style="734" hidden="1" customWidth="1"/>
    <col min="13095" max="13095" width="2.6640625" style="734" hidden="1" customWidth="1"/>
    <col min="13096" max="13336" width="0" style="734" hidden="1"/>
    <col min="13337" max="13337" width="3.33203125" style="734" hidden="1" customWidth="1"/>
    <col min="13338" max="13340" width="2.6640625" style="734" hidden="1" customWidth="1"/>
    <col min="13341" max="13350" width="12.6640625" style="734" hidden="1" customWidth="1"/>
    <col min="13351" max="13351" width="2.6640625" style="734" hidden="1" customWidth="1"/>
    <col min="13352" max="13592" width="0" style="734" hidden="1"/>
    <col min="13593" max="13593" width="3.33203125" style="734" hidden="1" customWidth="1"/>
    <col min="13594" max="13596" width="2.6640625" style="734" hidden="1" customWidth="1"/>
    <col min="13597" max="13606" width="12.6640625" style="734" hidden="1" customWidth="1"/>
    <col min="13607" max="13607" width="2.6640625" style="734" hidden="1" customWidth="1"/>
    <col min="13608" max="13848" width="0" style="734" hidden="1"/>
    <col min="13849" max="13849" width="3.33203125" style="734" hidden="1" customWidth="1"/>
    <col min="13850" max="13852" width="2.6640625" style="734" hidden="1" customWidth="1"/>
    <col min="13853" max="13862" width="12.6640625" style="734" hidden="1" customWidth="1"/>
    <col min="13863" max="13863" width="2.6640625" style="734" hidden="1" customWidth="1"/>
    <col min="13864" max="14104" width="0" style="734" hidden="1"/>
    <col min="14105" max="14105" width="3.33203125" style="734" hidden="1" customWidth="1"/>
    <col min="14106" max="14108" width="2.6640625" style="734" hidden="1" customWidth="1"/>
    <col min="14109" max="14118" width="12.6640625" style="734" hidden="1" customWidth="1"/>
    <col min="14119" max="14119" width="2.6640625" style="734" hidden="1" customWidth="1"/>
    <col min="14120" max="14360" width="0" style="734" hidden="1"/>
    <col min="14361" max="14361" width="3.33203125" style="734" hidden="1" customWidth="1"/>
    <col min="14362" max="14364" width="2.6640625" style="734" hidden="1" customWidth="1"/>
    <col min="14365" max="14374" width="12.6640625" style="734" hidden="1" customWidth="1"/>
    <col min="14375" max="14375" width="2.6640625" style="734" hidden="1" customWidth="1"/>
    <col min="14376" max="14616" width="0" style="734" hidden="1"/>
    <col min="14617" max="14617" width="3.33203125" style="734" hidden="1" customWidth="1"/>
    <col min="14618" max="14620" width="2.6640625" style="734" hidden="1" customWidth="1"/>
    <col min="14621" max="14630" width="12.6640625" style="734" hidden="1" customWidth="1"/>
    <col min="14631" max="14631" width="2.6640625" style="734" hidden="1" customWidth="1"/>
    <col min="14632" max="14872" width="0" style="734" hidden="1"/>
    <col min="14873" max="14873" width="3.33203125" style="734" hidden="1" customWidth="1"/>
    <col min="14874" max="14876" width="2.6640625" style="734" hidden="1" customWidth="1"/>
    <col min="14877" max="14886" width="12.6640625" style="734" hidden="1" customWidth="1"/>
    <col min="14887" max="14887" width="2.6640625" style="734" hidden="1" customWidth="1"/>
    <col min="14888" max="15128" width="0" style="734" hidden="1"/>
    <col min="15129" max="15129" width="3.33203125" style="734" hidden="1" customWidth="1"/>
    <col min="15130" max="15132" width="2.6640625" style="734" hidden="1" customWidth="1"/>
    <col min="15133" max="15142" width="12.6640625" style="734" hidden="1" customWidth="1"/>
    <col min="15143" max="15143" width="2.6640625" style="734" hidden="1" customWidth="1"/>
    <col min="15144" max="15384" width="0" style="734" hidden="1"/>
    <col min="15385" max="15385" width="3.33203125" style="734" hidden="1" customWidth="1"/>
    <col min="15386" max="15388" width="2.6640625" style="734" hidden="1" customWidth="1"/>
    <col min="15389" max="15398" width="12.6640625" style="734" hidden="1" customWidth="1"/>
    <col min="15399" max="15399" width="2.6640625" style="734" hidden="1" customWidth="1"/>
    <col min="15400" max="15640" width="0" style="734" hidden="1"/>
    <col min="15641" max="15641" width="3.33203125" style="734" hidden="1" customWidth="1"/>
    <col min="15642" max="15644" width="2.6640625" style="734" hidden="1" customWidth="1"/>
    <col min="15645" max="15654" width="12.6640625" style="734" hidden="1" customWidth="1"/>
    <col min="15655" max="15655" width="2.6640625" style="734" hidden="1" customWidth="1"/>
    <col min="15656" max="15896" width="0" style="734" hidden="1"/>
    <col min="15897" max="15897" width="3.33203125" style="734" hidden="1" customWidth="1"/>
    <col min="15898" max="15900" width="2.6640625" style="734" hidden="1" customWidth="1"/>
    <col min="15901" max="15910" width="12.6640625" style="734" hidden="1" customWidth="1"/>
    <col min="15911" max="15911" width="2.6640625" style="734" hidden="1" customWidth="1"/>
    <col min="15912" max="16152" width="0" style="734" hidden="1"/>
    <col min="16153" max="16153" width="3.33203125" style="734" hidden="1" customWidth="1"/>
    <col min="16154" max="16156" width="2.6640625" style="734" hidden="1" customWidth="1"/>
    <col min="16157" max="16166" width="12.6640625" style="734" hidden="1" customWidth="1"/>
    <col min="16167" max="16167" width="2.6640625" style="734" hidden="1" customWidth="1"/>
    <col min="16168" max="16168" width="2.6640625" style="734" hidden="1"/>
    <col min="16169" max="16384" width="0" style="734" hidden="1"/>
  </cols>
  <sheetData>
    <row r="1" spans="1:42" s="707" customFormat="1" ht="13.2" x14ac:dyDescent="0.25">
      <c r="A1" s="1465" t="s">
        <v>635</v>
      </c>
    </row>
    <row r="2" spans="1:42" s="707" customFormat="1" ht="13.2" x14ac:dyDescent="0.25">
      <c r="A2" s="708"/>
    </row>
    <row r="3" spans="1:42" s="711" customFormat="1" ht="12.75" customHeight="1" x14ac:dyDescent="0.25">
      <c r="A3" s="716" t="s">
        <v>555</v>
      </c>
      <c r="B3" s="717"/>
      <c r="C3" s="717"/>
      <c r="D3" s="718"/>
      <c r="E3" s="718"/>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4"/>
      <c r="AN3" s="715"/>
      <c r="AO3" s="707"/>
      <c r="AP3" s="707"/>
    </row>
    <row r="4" spans="1:42" s="711" customFormat="1" ht="12.75" customHeight="1" x14ac:dyDescent="0.25">
      <c r="A4" s="710"/>
      <c r="B4" s="707"/>
      <c r="F4" s="712"/>
      <c r="G4" s="712"/>
      <c r="H4" s="712"/>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4"/>
      <c r="AN4" s="715"/>
      <c r="AO4" s="707"/>
      <c r="AP4" s="707"/>
    </row>
    <row r="5" spans="1:42" ht="12.75" customHeight="1" x14ac:dyDescent="0.25"/>
    <row r="6" spans="1:42" ht="12.75" customHeight="1" x14ac:dyDescent="0.25"/>
    <row r="7" spans="1:42" ht="12.75" customHeight="1" x14ac:dyDescent="0.25">
      <c r="B7" s="1214"/>
      <c r="C7" s="1215"/>
      <c r="D7" s="1215"/>
      <c r="E7" s="1215"/>
      <c r="F7" s="1215"/>
      <c r="G7" s="1215"/>
      <c r="H7" s="1215"/>
      <c r="I7" s="1215"/>
      <c r="J7" s="1216"/>
      <c r="K7" s="1216"/>
      <c r="L7" s="1216"/>
      <c r="M7" s="1217"/>
    </row>
    <row r="8" spans="1:42" ht="12.75" customHeight="1" x14ac:dyDescent="0.25">
      <c r="B8" s="1218"/>
      <c r="C8" s="1219" t="s">
        <v>559</v>
      </c>
      <c r="D8" s="1219"/>
      <c r="E8" s="1219"/>
      <c r="F8" s="1219"/>
      <c r="G8" s="1219"/>
      <c r="H8" s="1219"/>
      <c r="I8" s="1219"/>
      <c r="J8" s="1219"/>
      <c r="K8" s="1219"/>
      <c r="L8" s="1219"/>
      <c r="M8" s="1220"/>
    </row>
    <row r="9" spans="1:42" ht="12.75" customHeight="1" x14ac:dyDescent="0.25">
      <c r="B9" s="1218"/>
      <c r="C9" s="1219"/>
      <c r="D9" s="1219" t="s">
        <v>604</v>
      </c>
      <c r="E9" s="1219"/>
      <c r="F9" s="1219"/>
      <c r="G9" s="1219"/>
      <c r="H9" s="1219"/>
      <c r="I9" s="1219"/>
      <c r="J9" s="2054">
        <f>'I. Summary Outputs'!L25</f>
        <v>500</v>
      </c>
      <c r="K9" s="2054"/>
      <c r="L9" s="2051"/>
      <c r="M9" s="1220"/>
    </row>
    <row r="10" spans="1:42" ht="12.75" customHeight="1" x14ac:dyDescent="0.25">
      <c r="B10" s="1218"/>
      <c r="C10" s="1219"/>
      <c r="D10" s="1219" t="s">
        <v>605</v>
      </c>
      <c r="E10" s="1219"/>
      <c r="F10" s="1219"/>
      <c r="G10" s="1219"/>
      <c r="H10" s="1219"/>
      <c r="I10" s="1219"/>
      <c r="J10" s="2055">
        <f>'I. Summary Outputs'!L27</f>
        <v>0</v>
      </c>
      <c r="K10" s="2055"/>
      <c r="L10" s="2055"/>
      <c r="M10" s="1220"/>
    </row>
    <row r="11" spans="1:42" ht="12.75" customHeight="1" x14ac:dyDescent="0.25">
      <c r="B11" s="1218"/>
      <c r="C11" s="1219"/>
      <c r="D11" s="1219" t="s">
        <v>560</v>
      </c>
      <c r="E11" s="1219"/>
      <c r="F11" s="1219"/>
      <c r="G11" s="1219"/>
      <c r="H11" s="1219"/>
      <c r="I11" s="1219"/>
      <c r="J11" s="2054">
        <f>'I. Summary Outputs'!L28</f>
        <v>0</v>
      </c>
      <c r="K11" s="2054"/>
      <c r="L11" s="2051"/>
      <c r="M11" s="1220"/>
    </row>
    <row r="12" spans="1:42" ht="12.75" customHeight="1" x14ac:dyDescent="0.25">
      <c r="B12" s="1218"/>
      <c r="C12" s="1219"/>
      <c r="D12" s="1219"/>
      <c r="E12" s="1219"/>
      <c r="F12" s="1219"/>
      <c r="G12" s="1219"/>
      <c r="H12" s="1219"/>
      <c r="I12" s="1219"/>
      <c r="J12" s="1219"/>
      <c r="K12" s="1219"/>
      <c r="L12" s="1219"/>
      <c r="M12" s="1220"/>
    </row>
    <row r="13" spans="1:42" ht="12.75" customHeight="1" x14ac:dyDescent="0.25">
      <c r="B13" s="1218"/>
      <c r="C13" s="1219" t="s">
        <v>561</v>
      </c>
      <c r="D13" s="1219"/>
      <c r="E13" s="1219"/>
      <c r="F13" s="1219"/>
      <c r="G13" s="1219"/>
      <c r="H13" s="1219"/>
      <c r="I13" s="1219"/>
      <c r="J13" s="1219"/>
      <c r="K13" s="1219"/>
      <c r="L13" s="1219"/>
      <c r="M13" s="1220"/>
    </row>
    <row r="14" spans="1:42" ht="12.75" customHeight="1" x14ac:dyDescent="0.25">
      <c r="B14" s="1218"/>
      <c r="C14" s="1219"/>
      <c r="D14" s="1219" t="s">
        <v>562</v>
      </c>
      <c r="E14" s="1219"/>
      <c r="F14" s="1219"/>
      <c r="G14" s="1219"/>
      <c r="H14" s="1219"/>
      <c r="I14" s="1219"/>
      <c r="J14" s="1219"/>
      <c r="K14" s="1219"/>
      <c r="L14" s="1219"/>
      <c r="M14" s="1220"/>
    </row>
    <row r="15" spans="1:42" ht="12.75" customHeight="1" x14ac:dyDescent="0.25">
      <c r="B15" s="1218"/>
      <c r="C15" s="1219"/>
      <c r="D15" s="1219"/>
      <c r="E15" s="1219" t="s">
        <v>603</v>
      </c>
      <c r="F15" s="1219"/>
      <c r="G15" s="1219"/>
      <c r="H15" s="1219"/>
      <c r="I15" s="1219"/>
      <c r="J15" s="2052">
        <f>'I. Summary Outputs'!L15</f>
        <v>0</v>
      </c>
      <c r="K15" s="2052"/>
      <c r="L15" s="2053"/>
      <c r="M15" s="1220"/>
    </row>
    <row r="16" spans="1:42" ht="12.75" customHeight="1" x14ac:dyDescent="0.25">
      <c r="B16" s="1218"/>
      <c r="C16" s="1219"/>
      <c r="D16" s="1219" t="s">
        <v>563</v>
      </c>
      <c r="E16" s="1219"/>
      <c r="F16" s="1219"/>
      <c r="G16" s="1219"/>
      <c r="H16" s="1219"/>
      <c r="I16" s="1219"/>
      <c r="J16" s="2056">
        <f>'II. Inputs, Baseline Energy Mix'!T20</f>
        <v>0</v>
      </c>
      <c r="K16" s="2056"/>
      <c r="L16" s="2056"/>
      <c r="M16" s="1220"/>
    </row>
    <row r="17" spans="2:13" ht="12.75" customHeight="1" x14ac:dyDescent="0.25">
      <c r="B17" s="1218"/>
      <c r="C17" s="1219"/>
      <c r="D17" s="1219"/>
      <c r="E17" s="1219"/>
      <c r="F17" s="1219"/>
      <c r="G17" s="1219"/>
      <c r="H17" s="1219"/>
      <c r="I17" s="1219"/>
      <c r="J17" s="1219"/>
      <c r="K17" s="1219"/>
      <c r="L17" s="1219"/>
      <c r="M17" s="1220"/>
    </row>
    <row r="18" spans="2:13" ht="12.75" customHeight="1" x14ac:dyDescent="0.25">
      <c r="B18" s="1218"/>
      <c r="C18" s="1219" t="s">
        <v>564</v>
      </c>
      <c r="D18" s="1219"/>
      <c r="E18" s="1219"/>
      <c r="F18" s="1219"/>
      <c r="G18" s="1219"/>
      <c r="H18" s="1219"/>
      <c r="I18" s="1219"/>
      <c r="J18" s="1219"/>
      <c r="K18" s="1219"/>
      <c r="L18" s="1219"/>
      <c r="M18" s="1220"/>
    </row>
    <row r="19" spans="2:13" ht="12.75" customHeight="1" x14ac:dyDescent="0.25">
      <c r="B19" s="1218"/>
      <c r="C19" s="1219"/>
      <c r="D19" s="1219" t="s">
        <v>565</v>
      </c>
      <c r="E19" s="1219"/>
      <c r="F19" s="1219"/>
      <c r="G19" s="1219"/>
      <c r="H19" s="1219"/>
      <c r="I19" s="1219"/>
      <c r="J19" s="2050">
        <f>'I. Summary Outputs'!L33</f>
        <v>0</v>
      </c>
      <c r="K19" s="2050"/>
      <c r="L19" s="2051"/>
      <c r="M19" s="1220"/>
    </row>
    <row r="20" spans="2:13" ht="12.75" customHeight="1" x14ac:dyDescent="0.25">
      <c r="B20" s="1218"/>
      <c r="C20" s="1219"/>
      <c r="D20" s="1219" t="s">
        <v>566</v>
      </c>
      <c r="E20" s="1219"/>
      <c r="F20" s="1219"/>
      <c r="G20" s="1219"/>
      <c r="H20" s="1219"/>
      <c r="I20" s="1219"/>
      <c r="J20" s="2052">
        <f>'I. Summary Outputs'!L34</f>
        <v>0.06</v>
      </c>
      <c r="K20" s="2052"/>
      <c r="L20" s="2053"/>
      <c r="M20" s="1220"/>
    </row>
    <row r="21" spans="2:13" ht="12.75" customHeight="1" x14ac:dyDescent="0.25">
      <c r="B21" s="1221"/>
      <c r="C21" s="1222"/>
      <c r="D21" s="1222"/>
      <c r="E21" s="1222"/>
      <c r="F21" s="1222"/>
      <c r="G21" s="1222"/>
      <c r="H21" s="1222"/>
      <c r="I21" s="1222"/>
      <c r="J21" s="1222"/>
      <c r="K21" s="1222"/>
      <c r="L21" s="1222"/>
      <c r="M21" s="1223"/>
    </row>
    <row r="22" spans="2:13" ht="12.75" customHeight="1" x14ac:dyDescent="0.25">
      <c r="B22" s="1224"/>
      <c r="C22" s="1224"/>
      <c r="D22" s="1224"/>
      <c r="E22" s="1224"/>
      <c r="F22" s="1224"/>
      <c r="G22" s="1224"/>
      <c r="H22" s="1224"/>
      <c r="I22" s="1224"/>
      <c r="J22" s="1224"/>
      <c r="K22" s="1224"/>
      <c r="L22" s="1224"/>
      <c r="M22" s="1224"/>
    </row>
    <row r="23" spans="2:13" ht="12.75" customHeight="1" x14ac:dyDescent="0.25">
      <c r="B23" s="1214"/>
      <c r="C23" s="1215"/>
      <c r="D23" s="1215"/>
      <c r="E23" s="1215"/>
      <c r="F23" s="1215"/>
      <c r="G23" s="1215"/>
      <c r="H23" s="1215"/>
      <c r="I23" s="1215"/>
      <c r="J23" s="1215"/>
      <c r="K23" s="1215"/>
      <c r="L23" s="1215"/>
      <c r="M23" s="1217"/>
    </row>
    <row r="24" spans="2:13" ht="12.75" customHeight="1" x14ac:dyDescent="0.25">
      <c r="B24" s="1218"/>
      <c r="C24" s="1219"/>
      <c r="D24" s="1219"/>
      <c r="E24" s="1219"/>
      <c r="F24" s="1219"/>
      <c r="G24" s="1219"/>
      <c r="H24" s="1219"/>
      <c r="I24" s="1219"/>
      <c r="J24" s="1225" t="s">
        <v>567</v>
      </c>
      <c r="K24" s="1226"/>
      <c r="L24" s="1225" t="s">
        <v>568</v>
      </c>
      <c r="M24" s="1220"/>
    </row>
    <row r="25" spans="2:13" ht="12.75" customHeight="1" x14ac:dyDescent="0.25">
      <c r="B25" s="1218"/>
      <c r="C25" s="1219"/>
      <c r="D25" s="1219"/>
      <c r="E25" s="1219"/>
      <c r="F25" s="1219"/>
      <c r="G25" s="1219"/>
      <c r="H25" s="1219"/>
      <c r="I25" s="1219"/>
      <c r="J25" s="1227" t="s">
        <v>569</v>
      </c>
      <c r="K25" s="1226"/>
      <c r="L25" s="1227" t="s">
        <v>569</v>
      </c>
      <c r="M25" s="1220"/>
    </row>
    <row r="26" spans="2:13" ht="12.75" customHeight="1" x14ac:dyDescent="0.25">
      <c r="B26" s="1218"/>
      <c r="C26" s="1219" t="s">
        <v>570</v>
      </c>
      <c r="D26" s="1219"/>
      <c r="E26" s="1219"/>
      <c r="F26" s="1219"/>
      <c r="G26" s="1219"/>
      <c r="H26" s="1219"/>
      <c r="I26" s="1219"/>
      <c r="J26" s="1228"/>
      <c r="K26" s="1219"/>
      <c r="L26" s="1228"/>
      <c r="M26" s="1220"/>
    </row>
    <row r="27" spans="2:13" ht="12.75" customHeight="1" x14ac:dyDescent="0.25">
      <c r="B27" s="1218"/>
      <c r="C27" s="1219"/>
      <c r="D27" s="1219" t="s">
        <v>26</v>
      </c>
      <c r="E27" s="1219"/>
      <c r="F27" s="1219"/>
      <c r="G27" s="1219"/>
      <c r="H27" s="1219"/>
      <c r="I27" s="1219"/>
      <c r="J27" s="1228"/>
      <c r="K27" s="1219"/>
      <c r="L27" s="1228"/>
      <c r="M27" s="1220"/>
    </row>
    <row r="28" spans="2:13" ht="12.75" customHeight="1" x14ac:dyDescent="0.25">
      <c r="B28" s="1218"/>
      <c r="C28" s="1219"/>
      <c r="D28" s="1219"/>
      <c r="E28" s="1219" t="s">
        <v>571</v>
      </c>
      <c r="F28" s="1219"/>
      <c r="G28" s="1219"/>
      <c r="H28" s="1219"/>
      <c r="I28" s="1219"/>
      <c r="J28" s="1229" t="str">
        <f>'I. Summary Outputs'!L42</f>
        <v>0%/0%</v>
      </c>
      <c r="K28" s="1230"/>
      <c r="L28" s="1229" t="str">
        <f>'I. Summary Outputs'!N42</f>
        <v>0%/0%</v>
      </c>
      <c r="M28" s="1220"/>
    </row>
    <row r="29" spans="2:13" ht="12.75" customHeight="1" x14ac:dyDescent="0.25">
      <c r="B29" s="1218"/>
      <c r="C29" s="1219"/>
      <c r="D29" s="1219"/>
      <c r="E29" s="1219"/>
      <c r="F29" s="1219"/>
      <c r="G29" s="1219"/>
      <c r="H29" s="1219"/>
      <c r="I29" s="1219"/>
      <c r="J29" s="1228"/>
      <c r="K29" s="1219"/>
      <c r="L29" s="1228"/>
      <c r="M29" s="1220"/>
    </row>
    <row r="30" spans="2:13" ht="12.75" customHeight="1" x14ac:dyDescent="0.25">
      <c r="B30" s="1218"/>
      <c r="C30" s="1219"/>
      <c r="D30" s="1219" t="s">
        <v>54</v>
      </c>
      <c r="E30" s="1219"/>
      <c r="F30" s="1219"/>
      <c r="G30" s="1219"/>
      <c r="H30" s="1219"/>
      <c r="I30" s="1219"/>
      <c r="J30" s="1228"/>
      <c r="K30" s="1219"/>
      <c r="L30" s="1228"/>
      <c r="M30" s="1220"/>
    </row>
    <row r="31" spans="2:13" ht="12.75" customHeight="1" x14ac:dyDescent="0.25">
      <c r="B31" s="1218"/>
      <c r="C31" s="1219"/>
      <c r="D31" s="1219"/>
      <c r="E31" s="1219" t="s">
        <v>600</v>
      </c>
      <c r="F31" s="1219"/>
      <c r="G31" s="1219"/>
      <c r="H31" s="1219"/>
      <c r="I31" s="1219"/>
      <c r="J31" s="1231" t="str">
        <f>'I. Summary Outputs'!L47</f>
        <v>NA</v>
      </c>
      <c r="K31" s="1232"/>
      <c r="L31" s="1231" t="str">
        <f>'I. Summary Outputs'!N47</f>
        <v>NA</v>
      </c>
      <c r="M31" s="1220"/>
    </row>
    <row r="32" spans="2:13" ht="12.75" customHeight="1" x14ac:dyDescent="0.25">
      <c r="B32" s="1218"/>
      <c r="C32" s="1219"/>
      <c r="D32" s="1219"/>
      <c r="E32" s="1219" t="s">
        <v>179</v>
      </c>
      <c r="F32" s="1219"/>
      <c r="G32" s="1219"/>
      <c r="H32" s="1219"/>
      <c r="I32" s="1219"/>
      <c r="J32" s="1231" t="str">
        <f>'I. Summary Outputs'!L48</f>
        <v>NA</v>
      </c>
      <c r="K32" s="1232"/>
      <c r="L32" s="1231" t="str">
        <f>'I. Summary Outputs'!N48</f>
        <v>NA</v>
      </c>
      <c r="M32" s="1220"/>
    </row>
    <row r="33" spans="2:13" ht="12.75" customHeight="1" x14ac:dyDescent="0.25">
      <c r="B33" s="1218"/>
      <c r="C33" s="1219"/>
      <c r="D33" s="1219"/>
      <c r="E33" s="1219" t="s">
        <v>180</v>
      </c>
      <c r="F33" s="1219"/>
      <c r="G33" s="1219"/>
      <c r="H33" s="1219"/>
      <c r="I33" s="1219"/>
      <c r="J33" s="1231" t="str">
        <f>'I. Summary Outputs'!L49</f>
        <v>NA</v>
      </c>
      <c r="K33" s="1232"/>
      <c r="L33" s="1231" t="str">
        <f>'I. Summary Outputs'!N49</f>
        <v>NA</v>
      </c>
      <c r="M33" s="1220"/>
    </row>
    <row r="34" spans="2:13" ht="12.75" customHeight="1" x14ac:dyDescent="0.25">
      <c r="B34" s="1218"/>
      <c r="C34" s="1219"/>
      <c r="D34" s="1219"/>
      <c r="E34" s="1219"/>
      <c r="F34" s="1219"/>
      <c r="G34" s="1219"/>
      <c r="H34" s="1219"/>
      <c r="I34" s="1219"/>
      <c r="J34" s="1228"/>
      <c r="K34" s="1219"/>
      <c r="L34" s="1228"/>
      <c r="M34" s="1220"/>
    </row>
    <row r="35" spans="2:13" ht="12.75" customHeight="1" x14ac:dyDescent="0.25">
      <c r="B35" s="1218"/>
      <c r="C35" s="1219"/>
      <c r="D35" s="1219" t="s">
        <v>141</v>
      </c>
      <c r="E35" s="1219"/>
      <c r="F35" s="1219"/>
      <c r="G35" s="1219"/>
      <c r="H35" s="1219"/>
      <c r="I35" s="1219"/>
      <c r="J35" s="1228"/>
      <c r="K35" s="1219"/>
      <c r="L35" s="1228"/>
      <c r="M35" s="1220"/>
    </row>
    <row r="36" spans="2:13" ht="12.75" customHeight="1" x14ac:dyDescent="0.25">
      <c r="B36" s="1218"/>
      <c r="C36" s="1219"/>
      <c r="D36" s="1219"/>
      <c r="E36" s="1219" t="s">
        <v>600</v>
      </c>
      <c r="F36" s="1219"/>
      <c r="G36" s="1219"/>
      <c r="H36" s="1219"/>
      <c r="I36" s="1219"/>
      <c r="J36" s="1233" t="str">
        <f>'I. Summary Outputs'!L54</f>
        <v>NA</v>
      </c>
      <c r="K36" s="1234"/>
      <c r="L36" s="1233" t="str">
        <f>'I. Summary Outputs'!N54&amp;" years"</f>
        <v>NA years</v>
      </c>
      <c r="M36" s="1220"/>
    </row>
    <row r="37" spans="2:13" ht="12.75" customHeight="1" x14ac:dyDescent="0.25">
      <c r="B37" s="1218"/>
      <c r="C37" s="1219"/>
      <c r="D37" s="1219"/>
      <c r="E37" s="1219" t="s">
        <v>179</v>
      </c>
      <c r="F37" s="1219"/>
      <c r="G37" s="1219"/>
      <c r="H37" s="1219"/>
      <c r="I37" s="1219"/>
      <c r="J37" s="1227" t="str">
        <f>'I. Summary Outputs'!L55</f>
        <v>NA</v>
      </c>
      <c r="K37" s="1226"/>
      <c r="L37" s="1233" t="str">
        <f>'I. Summary Outputs'!N55</f>
        <v>NA</v>
      </c>
      <c r="M37" s="1220"/>
    </row>
    <row r="38" spans="2:13" ht="12.75" customHeight="1" x14ac:dyDescent="0.25">
      <c r="B38" s="1218"/>
      <c r="C38" s="1219"/>
      <c r="D38" s="1219"/>
      <c r="E38" s="1219" t="s">
        <v>180</v>
      </c>
      <c r="F38" s="1219"/>
      <c r="G38" s="1219"/>
      <c r="H38" s="1219"/>
      <c r="I38" s="1219"/>
      <c r="J38" s="1233" t="str">
        <f>'I. Summary Outputs'!L56&amp;" years"</f>
        <v>NA years</v>
      </c>
      <c r="K38" s="1226"/>
      <c r="L38" s="1233" t="str">
        <f>'I. Summary Outputs'!N56&amp;" years"</f>
        <v>12 years</v>
      </c>
      <c r="M38" s="1220"/>
    </row>
    <row r="39" spans="2:13" ht="12.75" customHeight="1" x14ac:dyDescent="0.25">
      <c r="B39" s="1218"/>
      <c r="C39" s="1219"/>
      <c r="D39" s="1219"/>
      <c r="E39" s="1219"/>
      <c r="F39" s="1219"/>
      <c r="G39" s="1219"/>
      <c r="H39" s="1219"/>
      <c r="I39" s="1219"/>
      <c r="J39" s="1228"/>
      <c r="K39" s="1219"/>
      <c r="L39" s="1228"/>
      <c r="M39" s="1220"/>
    </row>
    <row r="40" spans="2:13" ht="12.75" customHeight="1" x14ac:dyDescent="0.25">
      <c r="B40" s="1218"/>
      <c r="C40" s="1219"/>
      <c r="D40" s="1219" t="s">
        <v>79</v>
      </c>
      <c r="E40" s="1219"/>
      <c r="F40" s="1219"/>
      <c r="G40" s="1219"/>
      <c r="H40" s="1219"/>
      <c r="I40" s="1219"/>
      <c r="J40" s="1231">
        <f>'I. Summary Outputs'!L44</f>
        <v>0</v>
      </c>
      <c r="K40" s="1232"/>
      <c r="L40" s="1231">
        <f>'I. Summary Outputs'!N44</f>
        <v>0</v>
      </c>
      <c r="M40" s="1220"/>
    </row>
    <row r="41" spans="2:13" ht="12.75" customHeight="1" x14ac:dyDescent="0.25">
      <c r="B41" s="1218"/>
      <c r="C41" s="1219"/>
      <c r="D41" s="1219"/>
      <c r="E41" s="1219"/>
      <c r="F41" s="1219"/>
      <c r="G41" s="1219"/>
      <c r="H41" s="1219"/>
      <c r="I41" s="1219"/>
      <c r="J41" s="1231"/>
      <c r="K41" s="1232"/>
      <c r="L41" s="1231"/>
      <c r="M41" s="1220"/>
    </row>
    <row r="42" spans="2:13" ht="12.75" customHeight="1" x14ac:dyDescent="0.25">
      <c r="B42" s="1218"/>
      <c r="C42" s="1219"/>
      <c r="D42" s="1219" t="s">
        <v>572</v>
      </c>
      <c r="E42" s="1219"/>
      <c r="F42" s="1219"/>
      <c r="G42" s="1219"/>
      <c r="H42" s="1219"/>
      <c r="I42" s="1219"/>
      <c r="J42" s="1231" t="str">
        <f>'I. Summary Outputs'!L51</f>
        <v>NA</v>
      </c>
      <c r="K42" s="1232"/>
      <c r="L42" s="1231" t="str">
        <f>'I. Summary Outputs'!N51</f>
        <v>NA</v>
      </c>
      <c r="M42" s="1220"/>
    </row>
    <row r="43" spans="2:13" ht="12.75" customHeight="1" x14ac:dyDescent="0.25">
      <c r="B43" s="1218"/>
      <c r="C43" s="1219"/>
      <c r="D43" s="1219"/>
      <c r="E43" s="1219"/>
      <c r="F43" s="1219"/>
      <c r="G43" s="1219"/>
      <c r="H43" s="1219"/>
      <c r="I43" s="1219"/>
      <c r="J43" s="1228"/>
      <c r="K43" s="1219"/>
      <c r="L43" s="1228"/>
      <c r="M43" s="1220"/>
    </row>
    <row r="44" spans="2:13" ht="12.75" customHeight="1" x14ac:dyDescent="0.25">
      <c r="B44" s="1218"/>
      <c r="C44" s="1219" t="s">
        <v>573</v>
      </c>
      <c r="D44" s="1219"/>
      <c r="E44" s="1219"/>
      <c r="F44" s="1219"/>
      <c r="G44" s="1219"/>
      <c r="H44" s="1219"/>
      <c r="I44" s="1219"/>
      <c r="J44" s="1228"/>
      <c r="K44" s="1219"/>
      <c r="L44" s="1228"/>
      <c r="M44" s="1220"/>
    </row>
    <row r="45" spans="2:13" ht="12.75" customHeight="1" x14ac:dyDescent="0.25">
      <c r="B45" s="1218"/>
      <c r="C45" s="1219"/>
      <c r="D45" s="1219" t="s">
        <v>619</v>
      </c>
      <c r="E45" s="1219"/>
      <c r="F45" s="1219"/>
      <c r="G45" s="1219"/>
      <c r="H45" s="1219"/>
      <c r="I45" s="1219"/>
      <c r="J45" s="1396">
        <f>'I. Summary Outputs'!L83/1000000</f>
        <v>0</v>
      </c>
      <c r="K45" s="1397"/>
      <c r="L45" s="1396">
        <f>'I. Summary Outputs'!N83/1000000</f>
        <v>0</v>
      </c>
      <c r="M45" s="1220"/>
    </row>
    <row r="46" spans="2:13" ht="12.75" customHeight="1" x14ac:dyDescent="0.25">
      <c r="B46" s="1218"/>
      <c r="C46" s="1219"/>
      <c r="D46" s="1219"/>
      <c r="E46" s="1219"/>
      <c r="F46" s="1219"/>
      <c r="G46" s="1219"/>
      <c r="H46" s="1219"/>
      <c r="I46" s="1219"/>
      <c r="J46" s="1398"/>
      <c r="K46" s="1399"/>
      <c r="L46" s="1398"/>
      <c r="M46" s="1220"/>
    </row>
    <row r="47" spans="2:13" ht="12.75" customHeight="1" x14ac:dyDescent="0.25">
      <c r="B47" s="1218"/>
      <c r="C47" s="1219"/>
      <c r="D47" s="1219" t="s">
        <v>620</v>
      </c>
      <c r="E47" s="1219"/>
      <c r="F47" s="1219"/>
      <c r="G47" s="1219"/>
      <c r="H47" s="1219"/>
      <c r="I47" s="1219"/>
      <c r="J47" s="1398"/>
      <c r="K47" s="1399"/>
      <c r="L47" s="1398"/>
      <c r="M47" s="1220"/>
    </row>
    <row r="48" spans="2:13" ht="12.75" customHeight="1" x14ac:dyDescent="0.25">
      <c r="B48" s="1218"/>
      <c r="C48" s="1219"/>
      <c r="D48" s="1219"/>
      <c r="E48" s="1219" t="s">
        <v>601</v>
      </c>
      <c r="F48" s="1219"/>
      <c r="G48" s="1219"/>
      <c r="H48" s="1219"/>
      <c r="I48" s="1219"/>
      <c r="J48" s="1396">
        <f>'I. Summary Outputs'!L91/10^6</f>
        <v>0</v>
      </c>
      <c r="K48" s="1397"/>
      <c r="L48" s="1396">
        <f>'I. Summary Outputs'!N91/10^6</f>
        <v>0</v>
      </c>
      <c r="M48" s="1220"/>
    </row>
    <row r="49" spans="2:13" ht="12.75" customHeight="1" x14ac:dyDescent="0.25">
      <c r="B49" s="1218"/>
      <c r="C49" s="1219"/>
      <c r="D49" s="1219"/>
      <c r="E49" s="1219" t="s">
        <v>574</v>
      </c>
      <c r="F49" s="1219"/>
      <c r="G49" s="1219"/>
      <c r="H49" s="1219"/>
      <c r="I49" s="1219"/>
      <c r="J49" s="1396">
        <f>'I. Summary Outputs'!L92/10^6</f>
        <v>0</v>
      </c>
      <c r="K49" s="1397"/>
      <c r="L49" s="1396">
        <f>'I. Summary Outputs'!N92/10^6</f>
        <v>0</v>
      </c>
      <c r="M49" s="1220"/>
    </row>
    <row r="50" spans="2:13" ht="12.75" customHeight="1" x14ac:dyDescent="0.25">
      <c r="B50" s="1218"/>
      <c r="C50" s="1219"/>
      <c r="D50" s="1219"/>
      <c r="E50" s="1219" t="s">
        <v>180</v>
      </c>
      <c r="F50" s="1219"/>
      <c r="G50" s="1219"/>
      <c r="H50" s="1219"/>
      <c r="I50" s="1219"/>
      <c r="J50" s="1396">
        <f>'I. Summary Outputs'!L93/10^6</f>
        <v>0</v>
      </c>
      <c r="K50" s="1397"/>
      <c r="L50" s="1396">
        <f>'I. Summary Outputs'!N93/10^6</f>
        <v>0</v>
      </c>
      <c r="M50" s="1220"/>
    </row>
    <row r="51" spans="2:13" ht="12.75" customHeight="1" x14ac:dyDescent="0.25">
      <c r="B51" s="1218"/>
      <c r="C51" s="1219"/>
      <c r="D51" s="1219"/>
      <c r="E51" s="1219"/>
      <c r="F51" s="1219"/>
      <c r="G51" s="1219"/>
      <c r="H51" s="1219"/>
      <c r="I51" s="1219"/>
      <c r="J51" s="1398"/>
      <c r="K51" s="1399"/>
      <c r="L51" s="1398"/>
      <c r="M51" s="1220"/>
    </row>
    <row r="52" spans="2:13" ht="12.75" customHeight="1" x14ac:dyDescent="0.25">
      <c r="B52" s="1218"/>
      <c r="C52" s="1219"/>
      <c r="D52" s="1219" t="s">
        <v>621</v>
      </c>
      <c r="E52" s="1219"/>
      <c r="F52" s="1219"/>
      <c r="G52" s="1219"/>
      <c r="H52" s="1219"/>
      <c r="I52" s="1219"/>
      <c r="J52" s="1396">
        <f>'I. Summary Outputs'!L87/10^6</f>
        <v>0</v>
      </c>
      <c r="K52" s="1397"/>
      <c r="L52" s="1396">
        <f>'I. Summary Outputs'!N87/10^6</f>
        <v>0</v>
      </c>
      <c r="M52" s="1220"/>
    </row>
    <row r="53" spans="2:13" ht="12.75" customHeight="1" outlineLevel="1" x14ac:dyDescent="0.25">
      <c r="B53" s="1218"/>
      <c r="C53" s="1219"/>
      <c r="D53" s="1219"/>
      <c r="E53" s="1219" t="s">
        <v>596</v>
      </c>
      <c r="F53" s="1219"/>
      <c r="G53" s="1219"/>
      <c r="H53" s="1219"/>
      <c r="I53" s="1219"/>
      <c r="J53" s="1396" t="s">
        <v>231</v>
      </c>
      <c r="K53" s="1397"/>
      <c r="L53" s="1396" t="s">
        <v>231</v>
      </c>
      <c r="M53" s="1220"/>
    </row>
    <row r="54" spans="2:13" ht="12.75" customHeight="1" outlineLevel="1" x14ac:dyDescent="0.25">
      <c r="B54" s="1218"/>
      <c r="C54" s="1219"/>
      <c r="D54" s="1219"/>
      <c r="E54" s="1219" t="s">
        <v>575</v>
      </c>
      <c r="F54" s="1219"/>
      <c r="G54" s="1219"/>
      <c r="H54" s="1219"/>
      <c r="I54" s="1219"/>
      <c r="J54" s="1396" t="s">
        <v>231</v>
      </c>
      <c r="K54" s="1400"/>
      <c r="L54" s="1396" t="s">
        <v>231</v>
      </c>
      <c r="M54" s="1220"/>
    </row>
    <row r="55" spans="2:13" ht="12.75" customHeight="1" x14ac:dyDescent="0.25">
      <c r="B55" s="1218"/>
      <c r="C55" s="1219"/>
      <c r="D55" s="1219"/>
      <c r="E55" s="1219"/>
      <c r="F55" s="1219"/>
      <c r="G55" s="1219"/>
      <c r="H55" s="1219"/>
      <c r="I55" s="1219"/>
      <c r="J55" s="1398"/>
      <c r="K55" s="1399"/>
      <c r="L55" s="1398"/>
      <c r="M55" s="1220"/>
    </row>
    <row r="56" spans="2:13" ht="12.75" customHeight="1" x14ac:dyDescent="0.25">
      <c r="B56" s="1218"/>
      <c r="C56" s="1219" t="s">
        <v>145</v>
      </c>
      <c r="D56" s="1219"/>
      <c r="E56" s="1219"/>
      <c r="F56" s="1219"/>
      <c r="G56" s="1219"/>
      <c r="H56" s="1219"/>
      <c r="I56" s="1219"/>
      <c r="J56" s="1398"/>
      <c r="K56" s="1399"/>
      <c r="L56" s="1398"/>
      <c r="M56" s="1220"/>
    </row>
    <row r="57" spans="2:13" ht="12.75" customHeight="1" x14ac:dyDescent="0.25">
      <c r="B57" s="1218"/>
      <c r="C57" s="1219"/>
      <c r="D57" s="1219" t="s">
        <v>622</v>
      </c>
      <c r="E57" s="1219"/>
      <c r="F57" s="1219"/>
      <c r="G57" s="1219"/>
      <c r="H57" s="1219"/>
      <c r="I57" s="1219"/>
      <c r="J57" s="1398"/>
      <c r="K57" s="1399"/>
      <c r="L57" s="1398"/>
      <c r="M57" s="1220"/>
    </row>
    <row r="58" spans="2:13" ht="12.75" customHeight="1" x14ac:dyDescent="0.25">
      <c r="B58" s="1218"/>
      <c r="C58" s="1219"/>
      <c r="D58" s="1219"/>
      <c r="E58" s="1219" t="str">
        <f>'I. Summary Outputs'!D103</f>
        <v>Power Market Risk Instruments</v>
      </c>
      <c r="F58" s="1219"/>
      <c r="G58" s="1219"/>
      <c r="H58" s="1219"/>
      <c r="I58" s="1219"/>
      <c r="J58" s="1396" t="str">
        <f>IF('I. Summary Outputs'!L103/10^6=0,"NA",'I. Summary Outputs'!L103/10^6)</f>
        <v>NA</v>
      </c>
      <c r="K58" s="1397"/>
      <c r="L58" s="1396" t="str">
        <f>IF('I. Summary Outputs'!N103/10^6=0,"NA",'I. Summary Outputs'!N103/10^6)</f>
        <v>NA</v>
      </c>
      <c r="M58" s="1220"/>
    </row>
    <row r="59" spans="2:13" ht="12.75" customHeight="1" x14ac:dyDescent="0.25">
      <c r="B59" s="1218"/>
      <c r="C59" s="1219"/>
      <c r="D59" s="1219"/>
      <c r="E59" s="1219" t="str">
        <f>'I. Summary Outputs'!D104</f>
        <v>Permits Risk Instruments</v>
      </c>
      <c r="F59" s="1219"/>
      <c r="G59" s="1219"/>
      <c r="H59" s="1219"/>
      <c r="I59" s="1219"/>
      <c r="J59" s="1396" t="str">
        <f>IF('I. Summary Outputs'!L104/10^6=0,"NA",'I. Summary Outputs'!L104/10^6)</f>
        <v>NA</v>
      </c>
      <c r="K59" s="1397"/>
      <c r="L59" s="1396" t="str">
        <f>IF('I. Summary Outputs'!N104/10^6=0,"NA",'I. Summary Outputs'!N104/10^6)</f>
        <v>NA</v>
      </c>
      <c r="M59" s="1220"/>
    </row>
    <row r="60" spans="2:13" ht="12.75" customHeight="1" x14ac:dyDescent="0.25">
      <c r="B60" s="1218"/>
      <c r="C60" s="1219"/>
      <c r="D60" s="1219"/>
      <c r="E60" s="1219" t="str">
        <f>'I. Summary Outputs'!D105</f>
        <v>Social Acceptance Risk Instruments</v>
      </c>
      <c r="F60" s="1219"/>
      <c r="G60" s="1219"/>
      <c r="H60" s="1219"/>
      <c r="I60" s="1219"/>
      <c r="J60" s="1396" t="str">
        <f>IF('I. Summary Outputs'!L105/10^6=0,"NA",'I. Summary Outputs'!L105/10^6)</f>
        <v>NA</v>
      </c>
      <c r="K60" s="1397"/>
      <c r="L60" s="1396" t="str">
        <f>IF('I. Summary Outputs'!N105/10^6=0,"NA",'I. Summary Outputs'!N105/10^6)</f>
        <v>NA</v>
      </c>
      <c r="M60" s="1220"/>
    </row>
    <row r="61" spans="2:13" ht="12.75" customHeight="1" x14ac:dyDescent="0.25">
      <c r="B61" s="1218"/>
      <c r="C61" s="1219"/>
      <c r="D61" s="1219"/>
      <c r="E61" s="1219" t="str">
        <f>'I. Summary Outputs'!D106</f>
        <v>Resource &amp; Technology Risk Instruments</v>
      </c>
      <c r="F61" s="1219"/>
      <c r="G61" s="1219"/>
      <c r="H61" s="1219"/>
      <c r="I61" s="1219"/>
      <c r="J61" s="1396" t="str">
        <f>IF('I. Summary Outputs'!L106/10^6=0,"NA",'I. Summary Outputs'!L106/10^6)</f>
        <v>NA</v>
      </c>
      <c r="K61" s="1397"/>
      <c r="L61" s="1396" t="str">
        <f>IF('I. Summary Outputs'!N106/10^6=0,"NA",'I. Summary Outputs'!N106/10^6)</f>
        <v>NA</v>
      </c>
      <c r="M61" s="1220"/>
    </row>
    <row r="62" spans="2:13" ht="12.75" customHeight="1" x14ac:dyDescent="0.25">
      <c r="B62" s="1218"/>
      <c r="C62" s="1219"/>
      <c r="D62" s="1219"/>
      <c r="E62" s="1219" t="str">
        <f>'I. Summary Outputs'!D107</f>
        <v>Grid/Transmission Risk Instruments</v>
      </c>
      <c r="F62" s="1219"/>
      <c r="G62" s="1219"/>
      <c r="H62" s="1219"/>
      <c r="I62" s="1219"/>
      <c r="J62" s="1396" t="str">
        <f>IF('I. Summary Outputs'!L107/10^6=0,"NA",'I. Summary Outputs'!L107/10^6)</f>
        <v>NA</v>
      </c>
      <c r="K62" s="1397"/>
      <c r="L62" s="1396" t="str">
        <f>IF('I. Summary Outputs'!N107/10^6=0,"NA",'I. Summary Outputs'!N107/10^6)</f>
        <v>NA</v>
      </c>
      <c r="M62" s="1220"/>
    </row>
    <row r="63" spans="2:13" ht="12.75" customHeight="1" x14ac:dyDescent="0.25">
      <c r="B63" s="1218"/>
      <c r="C63" s="1219"/>
      <c r="D63" s="1219"/>
      <c r="E63" s="1219" t="str">
        <f>'I. Summary Outputs'!D108</f>
        <v>Counterparty Risk Instruments</v>
      </c>
      <c r="F63" s="1219"/>
      <c r="G63" s="1219"/>
      <c r="H63" s="1219"/>
      <c r="I63" s="1219"/>
      <c r="J63" s="1396" t="str">
        <f>IF('I. Summary Outputs'!L108/10^6=0,"NA",'I. Summary Outputs'!L108/10^6)</f>
        <v>NA</v>
      </c>
      <c r="K63" s="1397"/>
      <c r="L63" s="1396" t="str">
        <f>IF('I. Summary Outputs'!N108/10^6=0,"NA",'I. Summary Outputs'!N108/10^6)</f>
        <v>NA</v>
      </c>
      <c r="M63" s="1220"/>
    </row>
    <row r="64" spans="2:13" ht="12.75" customHeight="1" x14ac:dyDescent="0.25">
      <c r="B64" s="1218"/>
      <c r="C64" s="1219"/>
      <c r="D64" s="1219"/>
      <c r="E64" s="1219" t="str">
        <f>'I. Summary Outputs'!D109</f>
        <v>Financial Sector Risk Instruments</v>
      </c>
      <c r="F64" s="1219"/>
      <c r="G64" s="1219"/>
      <c r="H64" s="1219"/>
      <c r="I64" s="1219"/>
      <c r="J64" s="1396" t="str">
        <f>IF('I. Summary Outputs'!L109/10^6=0,"NA",'I. Summary Outputs'!L109/10^6)</f>
        <v>NA</v>
      </c>
      <c r="K64" s="1397"/>
      <c r="L64" s="1396" t="str">
        <f>IF('I. Summary Outputs'!N109/10^6=0,"NA",'I. Summary Outputs'!N109/10^6)</f>
        <v>NA</v>
      </c>
      <c r="M64" s="1220"/>
    </row>
    <row r="65" spans="2:13" ht="12.75" customHeight="1" x14ac:dyDescent="0.25">
      <c r="B65" s="1218"/>
      <c r="C65" s="1219"/>
      <c r="D65" s="1219"/>
      <c r="E65" s="1235"/>
      <c r="F65" s="1219" t="s">
        <v>168</v>
      </c>
      <c r="G65" s="1219"/>
      <c r="H65" s="1219"/>
      <c r="I65" s="1219"/>
      <c r="J65" s="1396" t="str">
        <f>IF('I. Summary Outputs'!L110/10^6=0,"NA",'I. Summary Outputs'!L110/10^6)</f>
        <v>NA</v>
      </c>
      <c r="K65" s="1397"/>
      <c r="L65" s="1396" t="str">
        <f>IF('I. Summary Outputs'!N110/10^6=0,"NA",'I. Summary Outputs'!N110/10^6)</f>
        <v>NA</v>
      </c>
      <c r="M65" s="1220"/>
    </row>
    <row r="66" spans="2:13" ht="12.75" customHeight="1" x14ac:dyDescent="0.25">
      <c r="B66" s="1218"/>
      <c r="C66" s="1219"/>
      <c r="D66" s="1219"/>
      <c r="E66" s="1219"/>
      <c r="F66" s="1219"/>
      <c r="G66" s="1219"/>
      <c r="H66" s="1219"/>
      <c r="I66" s="1219"/>
      <c r="J66" s="1398"/>
      <c r="K66" s="1399"/>
      <c r="L66" s="1398"/>
      <c r="M66" s="1220"/>
    </row>
    <row r="67" spans="2:13" ht="12.75" customHeight="1" x14ac:dyDescent="0.25">
      <c r="B67" s="1218"/>
      <c r="C67" s="1219"/>
      <c r="D67" s="1219" t="s">
        <v>623</v>
      </c>
      <c r="E67" s="1219"/>
      <c r="F67" s="1219"/>
      <c r="G67" s="1219"/>
      <c r="H67" s="1219"/>
      <c r="I67" s="1219"/>
      <c r="J67" s="1398"/>
      <c r="K67" s="1399"/>
      <c r="L67" s="1398"/>
      <c r="M67" s="1220"/>
    </row>
    <row r="68" spans="2:13" ht="12.75" customHeight="1" x14ac:dyDescent="0.25">
      <c r="B68" s="1218"/>
      <c r="C68" s="1219"/>
      <c r="D68" s="1219"/>
      <c r="E68" s="1219" t="str">
        <f>'I. Summary Outputs'!D114</f>
        <v>Grid/Transmission Risk Instruments</v>
      </c>
      <c r="F68" s="1219"/>
      <c r="G68" s="1219"/>
      <c r="H68" s="1219"/>
      <c r="I68" s="1219"/>
      <c r="J68" s="1396" t="str">
        <f>IF('I. Summary Outputs'!L114/10^6=0,"NA",'I. Summary Outputs'!L114/10^6)</f>
        <v>NA</v>
      </c>
      <c r="K68" s="1399"/>
      <c r="L68" s="1396" t="str">
        <f>IF('I. Summary Outputs'!N114/10^6=0,"NA",'I. Summary Outputs'!N114/10^6)</f>
        <v>NA</v>
      </c>
      <c r="M68" s="1220"/>
    </row>
    <row r="69" spans="2:13" ht="12.75" customHeight="1" x14ac:dyDescent="0.25">
      <c r="B69" s="1218"/>
      <c r="C69" s="1219"/>
      <c r="D69" s="1219"/>
      <c r="E69" s="1219" t="str">
        <f>'I. Summary Outputs'!D115</f>
        <v>Counterparty Risk Instruments</v>
      </c>
      <c r="F69" s="1219"/>
      <c r="G69" s="1219"/>
      <c r="H69" s="1219"/>
      <c r="I69" s="1219"/>
      <c r="J69" s="1396" t="str">
        <f>IF('I. Summary Outputs'!L115/10^6=0,"NA",'I. Summary Outputs'!L115/10^6)</f>
        <v>NA</v>
      </c>
      <c r="K69" s="1399"/>
      <c r="L69" s="1396" t="str">
        <f>IF('I. Summary Outputs'!N115/10^6=0,"NA",'I. Summary Outputs'!N115/10^6)</f>
        <v>NA</v>
      </c>
      <c r="M69" s="1220"/>
    </row>
    <row r="70" spans="2:13" ht="12.75" customHeight="1" x14ac:dyDescent="0.25">
      <c r="B70" s="1218"/>
      <c r="C70" s="1219"/>
      <c r="D70" s="1219"/>
      <c r="E70" s="1219" t="str">
        <f>'I. Summary Outputs'!D116</f>
        <v>Financial Sector Risk Instruments</v>
      </c>
      <c r="F70" s="1219"/>
      <c r="G70" s="1219"/>
      <c r="H70" s="1219"/>
      <c r="I70" s="1219"/>
      <c r="J70" s="1396" t="str">
        <f>IF('I. Summary Outputs'!L116/10^6=0,"NA",'I. Summary Outputs'!L116/10^6)</f>
        <v>NA</v>
      </c>
      <c r="K70" s="1399"/>
      <c r="L70" s="1396" t="str">
        <f>IF('I. Summary Outputs'!N116/10^6=0,"NA",'I. Summary Outputs'!N116/10^6)</f>
        <v>NA</v>
      </c>
      <c r="M70" s="1220"/>
    </row>
    <row r="71" spans="2:13" ht="12.75" customHeight="1" x14ac:dyDescent="0.25">
      <c r="B71" s="1218"/>
      <c r="C71" s="1219"/>
      <c r="D71" s="1219"/>
      <c r="E71" s="1219"/>
      <c r="F71" s="1219" t="str">
        <f>'I. Summary Outputs'!E117</f>
        <v>Public Loans</v>
      </c>
      <c r="G71" s="1219"/>
      <c r="H71" s="1219"/>
      <c r="I71" s="1219"/>
      <c r="J71" s="1396" t="str">
        <f>IFERROR(IF('I. Summary Outputs'!L117/10^6=0,"NA",'I. Summary Outputs'!L117/10^6),"NA")</f>
        <v>NA</v>
      </c>
      <c r="K71" s="1399"/>
      <c r="L71" s="1396" t="str">
        <f>IFERROR(IF('I. Summary Outputs'!N117/10^6=0,"NA",'I. Summary Outputs'!N117/10^6),"NA")</f>
        <v>NA</v>
      </c>
      <c r="M71" s="1220"/>
    </row>
    <row r="72" spans="2:13" ht="12.75" customHeight="1" x14ac:dyDescent="0.25">
      <c r="B72" s="1218"/>
      <c r="C72" s="1219"/>
      <c r="D72" s="1219"/>
      <c r="E72" s="1219"/>
      <c r="F72" s="1219" t="str">
        <f>'I. Summary Outputs'!E118</f>
        <v>Public Guarantees for Commercial Loans</v>
      </c>
      <c r="G72" s="1219"/>
      <c r="H72" s="1219"/>
      <c r="I72" s="1219"/>
      <c r="J72" s="1396" t="str">
        <f>IFERROR(IF('I. Summary Outputs'!L118/10^6=0,"NA",'I. Summary Outputs'!L118/10^6),"NA")</f>
        <v>NA</v>
      </c>
      <c r="K72" s="1399"/>
      <c r="L72" s="1396" t="str">
        <f>IFERROR(IF('I. Summary Outputs'!N118/10^6=0,"NA",'I. Summary Outputs'!N118/10^6),"NA")</f>
        <v>NA</v>
      </c>
      <c r="M72" s="1220"/>
    </row>
    <row r="73" spans="2:13" ht="12.75" customHeight="1" x14ac:dyDescent="0.25">
      <c r="B73" s="1218"/>
      <c r="C73" s="1219"/>
      <c r="D73" s="1219"/>
      <c r="E73" s="1219" t="str">
        <f>'I. Summary Outputs'!D119</f>
        <v>Political Risk Instruments</v>
      </c>
      <c r="F73" s="1219"/>
      <c r="G73" s="1219"/>
      <c r="H73" s="1219"/>
      <c r="I73" s="1219"/>
      <c r="J73" s="1396" t="str">
        <f>IF('I. Summary Outputs'!L119/10^6=0,"NA",'I. Summary Outputs'!L119/10^6)</f>
        <v>NA</v>
      </c>
      <c r="K73" s="1399"/>
      <c r="L73" s="1396" t="str">
        <f>IF('I. Summary Outputs'!N119/10^6=0,"NA",'I. Summary Outputs'!N119/10^6)</f>
        <v>NA</v>
      </c>
      <c r="M73" s="1220"/>
    </row>
    <row r="74" spans="2:13" ht="12.75" customHeight="1" x14ac:dyDescent="0.25">
      <c r="B74" s="1218"/>
      <c r="C74" s="1219"/>
      <c r="D74" s="1219"/>
      <c r="E74" s="1219" t="str">
        <f>'I. Summary Outputs'!D120</f>
        <v>Currency/Macro Risk Instruments</v>
      </c>
      <c r="F74" s="1219"/>
      <c r="G74" s="1219"/>
      <c r="H74" s="1219"/>
      <c r="I74" s="1219"/>
      <c r="J74" s="1396" t="str">
        <f>IF('I. Summary Outputs'!L120/10^6=0,"NA",'I. Summary Outputs'!L120/10^6)</f>
        <v>NA</v>
      </c>
      <c r="K74" s="1399"/>
      <c r="L74" s="1396" t="str">
        <f>IF('I. Summary Outputs'!N120/10^6=0,"NA",'I. Summary Outputs'!N120/10^6)</f>
        <v>NA</v>
      </c>
      <c r="M74" s="1220"/>
    </row>
    <row r="75" spans="2:13" ht="12.75" customHeight="1" x14ac:dyDescent="0.25">
      <c r="B75" s="1218"/>
      <c r="C75" s="1219"/>
      <c r="D75" s="1219"/>
      <c r="E75" s="1235"/>
      <c r="F75" s="1219" t="s">
        <v>168</v>
      </c>
      <c r="G75" s="1219"/>
      <c r="H75" s="1219"/>
      <c r="I75" s="1219"/>
      <c r="J75" s="1396" t="str">
        <f>IF('I. Summary Outputs'!L121/10^6=0,"NA",'I. Summary Outputs'!L121/10^6)</f>
        <v>NA</v>
      </c>
      <c r="K75" s="1399"/>
      <c r="L75" s="1396" t="str">
        <f>IF('I. Summary Outputs'!N121/10^6=0,"NA",'I. Summary Outputs'!N121/10^6)</f>
        <v>NA</v>
      </c>
      <c r="M75" s="1220"/>
    </row>
    <row r="76" spans="2:13" ht="12.75" customHeight="1" x14ac:dyDescent="0.25">
      <c r="B76" s="1218"/>
      <c r="C76" s="1219"/>
      <c r="D76" s="1219"/>
      <c r="E76" s="1235"/>
      <c r="F76" s="1219"/>
      <c r="G76" s="1219"/>
      <c r="H76" s="1219"/>
      <c r="I76" s="1219"/>
      <c r="J76" s="1396"/>
      <c r="K76" s="1400"/>
      <c r="L76" s="1396"/>
      <c r="M76" s="1220"/>
    </row>
    <row r="77" spans="2:13" ht="12.75" customHeight="1" x14ac:dyDescent="0.25">
      <c r="B77" s="1218"/>
      <c r="C77" s="1219"/>
      <c r="D77" s="1219" t="s">
        <v>624</v>
      </c>
      <c r="E77" s="1219"/>
      <c r="F77" s="1219"/>
      <c r="G77" s="1219"/>
      <c r="H77" s="1219"/>
      <c r="I77" s="1219"/>
      <c r="J77" s="1398"/>
      <c r="K77" s="1399"/>
      <c r="L77" s="1398"/>
      <c r="M77" s="1220"/>
    </row>
    <row r="78" spans="2:13" ht="12.75" customHeight="1" x14ac:dyDescent="0.25">
      <c r="B78" s="1218"/>
      <c r="C78" s="1219"/>
      <c r="D78" s="1219"/>
      <c r="E78" s="1219" t="s">
        <v>602</v>
      </c>
      <c r="F78" s="1219"/>
      <c r="G78" s="1219"/>
      <c r="H78" s="1219"/>
      <c r="I78" s="1219"/>
      <c r="J78" s="1396" t="e">
        <f>'I. Summary Outputs'!L124/10^6</f>
        <v>#VALUE!</v>
      </c>
      <c r="K78" s="1397"/>
      <c r="L78" s="1396" t="e">
        <f>'I. Summary Outputs'!N124/10^6</f>
        <v>#VALUE!</v>
      </c>
      <c r="M78" s="1220"/>
    </row>
    <row r="79" spans="2:13" ht="12.75" customHeight="1" outlineLevel="1" x14ac:dyDescent="0.25">
      <c r="B79" s="1218"/>
      <c r="C79" s="1219"/>
      <c r="D79" s="1219"/>
      <c r="E79" s="1219"/>
      <c r="F79" s="1219" t="s">
        <v>576</v>
      </c>
      <c r="G79" s="1219"/>
      <c r="H79" s="1219"/>
      <c r="I79" s="1219"/>
      <c r="J79" s="1401" t="s">
        <v>231</v>
      </c>
      <c r="K79" s="1402"/>
      <c r="L79" s="1401" t="s">
        <v>231</v>
      </c>
      <c r="M79" s="1220"/>
    </row>
    <row r="80" spans="2:13" ht="12.75" customHeight="1" outlineLevel="1" x14ac:dyDescent="0.25">
      <c r="B80" s="1218"/>
      <c r="C80" s="1219"/>
      <c r="D80" s="1219"/>
      <c r="E80" s="1219"/>
      <c r="F80" s="1219" t="s">
        <v>577</v>
      </c>
      <c r="G80" s="1219"/>
      <c r="H80" s="1219"/>
      <c r="I80" s="1219"/>
      <c r="J80" s="1401" t="s">
        <v>231</v>
      </c>
      <c r="K80" s="1402"/>
      <c r="L80" s="1401" t="s">
        <v>231</v>
      </c>
      <c r="M80" s="1220"/>
    </row>
    <row r="81" spans="2:13" ht="12.75" customHeight="1" x14ac:dyDescent="0.25">
      <c r="B81" s="1218"/>
      <c r="C81" s="1219"/>
      <c r="D81" s="1219"/>
      <c r="E81" s="1219"/>
      <c r="F81" s="1219"/>
      <c r="G81" s="1219"/>
      <c r="H81" s="1219"/>
      <c r="I81" s="1219"/>
      <c r="J81" s="1236"/>
      <c r="K81" s="1219"/>
      <c r="L81" s="1236"/>
      <c r="M81" s="1220"/>
    </row>
    <row r="82" spans="2:13" ht="12.75" customHeight="1" x14ac:dyDescent="0.25">
      <c r="B82" s="1221"/>
      <c r="C82" s="1222"/>
      <c r="D82" s="1222"/>
      <c r="E82" s="1222"/>
      <c r="F82" s="1222"/>
      <c r="G82" s="1222"/>
      <c r="H82" s="1222"/>
      <c r="I82" s="1222"/>
      <c r="J82" s="1222"/>
      <c r="K82" s="1222"/>
      <c r="L82" s="1222"/>
      <c r="M82" s="1223"/>
    </row>
    <row r="83" spans="2:13" ht="12.75" customHeight="1" x14ac:dyDescent="0.25"/>
    <row r="84" spans="2:13" ht="12.75" customHeight="1" x14ac:dyDescent="0.25"/>
    <row r="85" spans="2:13" ht="12.75" customHeight="1" x14ac:dyDescent="0.25"/>
    <row r="86" spans="2:13" ht="12.75" customHeight="1" x14ac:dyDescent="0.25"/>
    <row r="87" spans="2:13" ht="12.75" customHeight="1" x14ac:dyDescent="0.25"/>
    <row r="88" spans="2:13" ht="12.75" customHeight="1" x14ac:dyDescent="0.25"/>
    <row r="89" spans="2:13" ht="12.75" customHeight="1" x14ac:dyDescent="0.25"/>
    <row r="90" spans="2:13" ht="12.75" customHeight="1" x14ac:dyDescent="0.25"/>
    <row r="91" spans="2:13" ht="12.75" customHeight="1" x14ac:dyDescent="0.25"/>
    <row r="92" spans="2:13" ht="12.75" customHeight="1" x14ac:dyDescent="0.25"/>
    <row r="93" spans="2:13" ht="12.75" customHeight="1" x14ac:dyDescent="0.25"/>
    <row r="94" spans="2:13" ht="12.75" customHeight="1" x14ac:dyDescent="0.25"/>
    <row r="95" spans="2:13" ht="12.75" customHeight="1" x14ac:dyDescent="0.25"/>
    <row r="96" spans="2: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4" zeroHeight="1" x14ac:dyDescent="0.3"/>
  <cols>
    <col min="1" max="1" width="2.6640625" customWidth="1"/>
    <col min="2" max="2" width="23.33203125" customWidth="1"/>
    <col min="3" max="3" width="32.109375" bestFit="1" customWidth="1"/>
    <col min="4" max="4" width="5.6640625" customWidth="1"/>
    <col min="5" max="5" width="11.6640625" customWidth="1"/>
    <col min="6" max="6" width="31.44140625" bestFit="1" customWidth="1"/>
    <col min="7" max="7" width="4.33203125" customWidth="1"/>
    <col min="8" max="8" width="4.44140625" customWidth="1"/>
    <col min="9" max="9" width="25.6640625" customWidth="1"/>
    <col min="10" max="12" width="9.109375" customWidth="1"/>
    <col min="13" max="19" width="9.109375" hidden="1" customWidth="1"/>
    <col min="20" max="20" width="0" hidden="1" customWidth="1"/>
    <col min="21" max="16384" width="9.109375" hidden="1"/>
  </cols>
  <sheetData>
    <row r="1" spans="1:15" x14ac:dyDescent="0.3"/>
    <row r="2" spans="1:15" s="707" customFormat="1" ht="13.2" x14ac:dyDescent="0.25">
      <c r="A2" s="706" t="s">
        <v>287</v>
      </c>
    </row>
    <row r="3" spans="1:15" s="707" customFormat="1" ht="13.2" x14ac:dyDescent="0.25">
      <c r="A3" s="708"/>
    </row>
    <row r="4" spans="1:15" s="711" customFormat="1" ht="12.75" customHeight="1" x14ac:dyDescent="0.25">
      <c r="A4" s="716" t="s">
        <v>354</v>
      </c>
      <c r="B4" s="717"/>
      <c r="C4" s="717"/>
      <c r="D4" s="718"/>
      <c r="E4" s="718"/>
      <c r="F4" s="719"/>
      <c r="G4" s="719"/>
      <c r="H4" s="719"/>
      <c r="I4" s="719"/>
      <c r="J4" s="719"/>
      <c r="K4" s="719"/>
      <c r="L4" s="719"/>
      <c r="M4" s="715"/>
      <c r="N4" s="707"/>
      <c r="O4" s="707"/>
    </row>
    <row r="5" spans="1:15" x14ac:dyDescent="0.3"/>
    <row r="6" spans="1:15" x14ac:dyDescent="0.3">
      <c r="B6" s="3" t="s">
        <v>353</v>
      </c>
      <c r="E6" s="3" t="s">
        <v>47</v>
      </c>
      <c r="I6" s="3" t="s">
        <v>50</v>
      </c>
    </row>
    <row r="7" spans="1:15" x14ac:dyDescent="0.3"/>
    <row r="8" spans="1:15" x14ac:dyDescent="0.3">
      <c r="B8" t="s">
        <v>131</v>
      </c>
      <c r="C8" s="2" t="s">
        <v>6</v>
      </c>
      <c r="E8" t="s">
        <v>51</v>
      </c>
      <c r="F8" s="2" t="s">
        <v>6</v>
      </c>
      <c r="I8" t="s">
        <v>249</v>
      </c>
      <c r="J8" t="s">
        <v>250</v>
      </c>
    </row>
    <row r="9" spans="1:15" x14ac:dyDescent="0.3">
      <c r="C9" s="2" t="s">
        <v>7</v>
      </c>
      <c r="F9" s="2" t="s">
        <v>7</v>
      </c>
      <c r="J9" t="s">
        <v>155</v>
      </c>
    </row>
    <row r="10" spans="1:15" x14ac:dyDescent="0.3"/>
    <row r="11" spans="1:15" x14ac:dyDescent="0.3">
      <c r="C11" s="4"/>
      <c r="I11" t="s">
        <v>8</v>
      </c>
      <c r="J11" s="2" t="s">
        <v>6</v>
      </c>
    </row>
    <row r="12" spans="1:15" x14ac:dyDescent="0.3">
      <c r="C12" s="4"/>
      <c r="J12" s="2" t="s">
        <v>7</v>
      </c>
    </row>
    <row r="13" spans="1:15" x14ac:dyDescent="0.3">
      <c r="C13" s="4"/>
      <c r="J13" s="2"/>
    </row>
    <row r="14" spans="1:15" x14ac:dyDescent="0.3">
      <c r="C14" s="4"/>
      <c r="E14" t="s">
        <v>23</v>
      </c>
      <c r="F14" t="s">
        <v>24</v>
      </c>
      <c r="J14" s="2"/>
    </row>
    <row r="15" spans="1:15" x14ac:dyDescent="0.3">
      <c r="F15" t="s">
        <v>25</v>
      </c>
      <c r="I15" t="s">
        <v>10</v>
      </c>
      <c r="J15" s="1">
        <v>1</v>
      </c>
    </row>
    <row r="16" spans="1:15" x14ac:dyDescent="0.3">
      <c r="J16" s="1">
        <v>0.75</v>
      </c>
    </row>
    <row r="17" spans="2:10" x14ac:dyDescent="0.3">
      <c r="B17" t="s">
        <v>41</v>
      </c>
      <c r="C17" s="4" t="s">
        <v>24</v>
      </c>
      <c r="J17" s="1">
        <v>0.5</v>
      </c>
    </row>
    <row r="18" spans="2:10" x14ac:dyDescent="0.3">
      <c r="C18" s="4" t="s">
        <v>42</v>
      </c>
      <c r="J18" s="1">
        <v>0.25</v>
      </c>
    </row>
    <row r="19" spans="2:10" x14ac:dyDescent="0.3">
      <c r="C19" s="4" t="s">
        <v>156</v>
      </c>
      <c r="J19" s="1">
        <v>0</v>
      </c>
    </row>
    <row r="20" spans="2:10" x14ac:dyDescent="0.3">
      <c r="C20" s="4" t="s">
        <v>155</v>
      </c>
    </row>
    <row r="21" spans="2:10" x14ac:dyDescent="0.3">
      <c r="I21" t="s">
        <v>11</v>
      </c>
      <c r="J21" s="1">
        <v>1</v>
      </c>
    </row>
    <row r="22" spans="2:10" x14ac:dyDescent="0.3">
      <c r="J22" s="1">
        <v>0.75</v>
      </c>
    </row>
    <row r="23" spans="2:10" x14ac:dyDescent="0.3">
      <c r="J23" s="1">
        <v>0.5</v>
      </c>
    </row>
    <row r="24" spans="2:10" x14ac:dyDescent="0.3">
      <c r="J24" s="1">
        <v>0.25</v>
      </c>
    </row>
    <row r="25" spans="2:10" x14ac:dyDescent="0.3">
      <c r="J25" s="1">
        <v>0</v>
      </c>
    </row>
    <row r="26" spans="2:10" x14ac:dyDescent="0.3"/>
    <row r="27" spans="2:10" x14ac:dyDescent="0.3">
      <c r="I27" t="s">
        <v>9</v>
      </c>
      <c r="J27" s="1">
        <v>1</v>
      </c>
    </row>
    <row r="28" spans="2:10" x14ac:dyDescent="0.3">
      <c r="J28" s="1">
        <v>0.75</v>
      </c>
    </row>
    <row r="29" spans="2:10" x14ac:dyDescent="0.3">
      <c r="J29" s="1">
        <v>0.5</v>
      </c>
    </row>
    <row r="30" spans="2:10" x14ac:dyDescent="0.3">
      <c r="J30" s="1">
        <v>0.25</v>
      </c>
    </row>
    <row r="31" spans="2:10" x14ac:dyDescent="0.3">
      <c r="J31" s="1">
        <v>0</v>
      </c>
    </row>
    <row r="32" spans="2:10" x14ac:dyDescent="0.3"/>
    <row r="33" spans="9:10" x14ac:dyDescent="0.3">
      <c r="I33" t="s">
        <v>178</v>
      </c>
    </row>
    <row r="34" spans="9:10" x14ac:dyDescent="0.3">
      <c r="J34" t="s">
        <v>223</v>
      </c>
    </row>
    <row r="35" spans="9:10" x14ac:dyDescent="0.3">
      <c r="J35" t="s">
        <v>83</v>
      </c>
    </row>
    <row r="36" spans="9:10" x14ac:dyDescent="0.3"/>
    <row r="37" spans="9:10" x14ac:dyDescent="0.3">
      <c r="I37" t="s">
        <v>183</v>
      </c>
      <c r="J37" s="2" t="s">
        <v>182</v>
      </c>
    </row>
    <row r="38" spans="9:10" x14ac:dyDescent="0.3">
      <c r="J38" s="2" t="s">
        <v>184</v>
      </c>
    </row>
    <row r="39" spans="9:10" x14ac:dyDescent="0.3"/>
    <row r="40" spans="9:10" x14ac:dyDescent="0.3"/>
    <row r="41" spans="9:10" x14ac:dyDescent="0.3"/>
    <row r="42" spans="9:10" x14ac:dyDescent="0.3"/>
    <row r="43" spans="9:10" x14ac:dyDescent="0.3"/>
    <row r="44" spans="9:10" x14ac:dyDescent="0.3"/>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zoomScale="85" zoomScaleNormal="85" zoomScalePageLayoutView="85" workbookViewId="0"/>
  </sheetViews>
  <sheetFormatPr defaultColWidth="0" defaultRowHeight="13.2" zeroHeight="1" outlineLevelRow="1" x14ac:dyDescent="0.25"/>
  <cols>
    <col min="1" max="8" width="2.6640625" style="8" customWidth="1"/>
    <col min="9" max="9" width="48.44140625" style="8" customWidth="1"/>
    <col min="10" max="12" width="13.33203125" style="9" customWidth="1"/>
    <col min="13" max="13" width="12.44140625" style="8" bestFit="1" customWidth="1"/>
    <col min="14" max="14" width="13.33203125" style="8" customWidth="1"/>
    <col min="15" max="15" width="14" style="8" customWidth="1"/>
    <col min="16" max="19" width="13.33203125" style="8" customWidth="1"/>
    <col min="20" max="20" width="2.44140625" style="8" customWidth="1"/>
    <col min="21" max="23" width="0" style="8" hidden="1" customWidth="1"/>
    <col min="24" max="16384" width="8.6640625" style="8" hidden="1"/>
  </cols>
  <sheetData>
    <row r="1" spans="1:23" ht="12.75" customHeight="1" x14ac:dyDescent="0.25">
      <c r="A1" s="1465" t="s">
        <v>639</v>
      </c>
    </row>
    <row r="2" spans="1:23" ht="12.75" customHeight="1" x14ac:dyDescent="0.25">
      <c r="A2" s="706"/>
      <c r="J2" s="685"/>
      <c r="K2" s="685"/>
      <c r="L2" s="685"/>
    </row>
    <row r="3" spans="1:23" ht="12.75" customHeight="1" x14ac:dyDescent="0.25">
      <c r="A3" s="5" t="s">
        <v>290</v>
      </c>
      <c r="B3" s="5"/>
      <c r="C3" s="5"/>
      <c r="D3" s="6"/>
      <c r="E3" s="7"/>
      <c r="F3" s="7"/>
      <c r="G3" s="7"/>
      <c r="H3" s="6"/>
      <c r="I3" s="6"/>
      <c r="J3" s="6"/>
      <c r="K3" s="6"/>
      <c r="L3" s="6"/>
      <c r="M3" s="6"/>
      <c r="N3" s="6"/>
      <c r="O3" s="6"/>
      <c r="P3" s="6"/>
      <c r="Q3" s="6"/>
      <c r="R3" s="6"/>
      <c r="S3" s="6"/>
    </row>
    <row r="4" spans="1:23" ht="3" customHeight="1" x14ac:dyDescent="0.25"/>
    <row r="5" spans="1:23" ht="12.75" customHeight="1" x14ac:dyDescent="0.25">
      <c r="U5" s="10"/>
      <c r="V5" s="10"/>
      <c r="W5" s="10"/>
    </row>
    <row r="6" spans="1:23" ht="12.75" customHeight="1" x14ac:dyDescent="0.25">
      <c r="B6" s="8" t="s">
        <v>194</v>
      </c>
      <c r="S6" s="50"/>
      <c r="U6" s="10"/>
      <c r="V6" s="10"/>
      <c r="W6" s="10"/>
    </row>
    <row r="7" spans="1:23" ht="12.75" customHeight="1" x14ac:dyDescent="0.25">
      <c r="A7" s="54"/>
      <c r="C7" s="8" t="s">
        <v>363</v>
      </c>
      <c r="S7" s="51"/>
      <c r="U7" s="10"/>
      <c r="V7" s="10"/>
      <c r="W7" s="10"/>
    </row>
    <row r="8" spans="1:23" ht="12.75" customHeight="1" x14ac:dyDescent="0.25">
      <c r="C8" s="8" t="s">
        <v>460</v>
      </c>
      <c r="S8" s="50"/>
      <c r="U8" s="10"/>
      <c r="V8" s="10"/>
      <c r="W8" s="10"/>
    </row>
    <row r="9" spans="1:23" ht="12.75" customHeight="1" x14ac:dyDescent="0.25"/>
    <row r="10" spans="1:23" ht="12.75" customHeight="1" x14ac:dyDescent="0.25">
      <c r="A10" s="44" t="s">
        <v>291</v>
      </c>
      <c r="B10" s="44"/>
      <c r="C10" s="45"/>
      <c r="D10" s="46"/>
      <c r="E10" s="46"/>
      <c r="F10" s="46"/>
      <c r="G10" s="46"/>
      <c r="H10" s="46"/>
      <c r="I10" s="46"/>
      <c r="J10" s="46"/>
      <c r="K10" s="46"/>
      <c r="L10" s="46"/>
      <c r="M10" s="46"/>
      <c r="N10" s="46"/>
      <c r="O10" s="46"/>
      <c r="P10" s="46"/>
      <c r="Q10" s="46"/>
      <c r="R10" s="46"/>
      <c r="S10" s="46"/>
    </row>
    <row r="11" spans="1:23" ht="12.75" customHeight="1" x14ac:dyDescent="0.25">
      <c r="A11" s="12"/>
      <c r="B11" s="12"/>
      <c r="C11" s="12"/>
      <c r="D11" s="12"/>
      <c r="E11" s="12"/>
      <c r="F11" s="12"/>
      <c r="G11" s="12"/>
      <c r="H11" s="12"/>
      <c r="I11" s="12"/>
      <c r="J11" s="12"/>
      <c r="K11" s="12"/>
      <c r="L11" s="12"/>
      <c r="M11" s="12"/>
      <c r="N11" s="12"/>
      <c r="O11" s="12"/>
      <c r="P11" s="12"/>
      <c r="Q11" s="12"/>
    </row>
    <row r="12" spans="1:23" ht="12.75" customHeight="1" x14ac:dyDescent="0.25">
      <c r="A12" s="34"/>
      <c r="B12" s="43"/>
      <c r="C12" s="34"/>
      <c r="D12" s="34"/>
      <c r="E12" s="34"/>
      <c r="F12" s="34"/>
      <c r="G12" s="34"/>
      <c r="H12" s="34"/>
      <c r="I12" s="34"/>
      <c r="J12" s="34"/>
      <c r="K12" s="34"/>
      <c r="L12" s="35"/>
      <c r="M12" s="35"/>
      <c r="N12" s="35"/>
      <c r="O12" s="35"/>
      <c r="P12" s="35"/>
      <c r="Q12" s="35"/>
      <c r="R12" s="25"/>
    </row>
    <row r="13" spans="1:23" s="12" customFormat="1" ht="12.75" customHeight="1" x14ac:dyDescent="0.25">
      <c r="J13" s="13"/>
      <c r="K13" s="13"/>
      <c r="L13" s="1489" t="s">
        <v>503</v>
      </c>
      <c r="M13" s="1490"/>
      <c r="N13" s="1490"/>
      <c r="O13" s="1490"/>
      <c r="P13" s="1490"/>
      <c r="Q13" s="1490"/>
      <c r="R13" s="1491"/>
      <c r="T13" s="8"/>
    </row>
    <row r="14" spans="1:23" s="12" customFormat="1" ht="12.75" customHeight="1" x14ac:dyDescent="0.25">
      <c r="C14" s="14"/>
      <c r="D14" s="14"/>
      <c r="E14" s="14"/>
      <c r="F14" s="14"/>
      <c r="G14" s="14"/>
      <c r="H14" s="14"/>
      <c r="I14" s="14"/>
      <c r="J14" s="13"/>
      <c r="K14" s="13"/>
      <c r="L14" s="15" t="str">
        <f>'II. Inputs, Baseline Energy Mix'!N14</f>
        <v>Natural Gas</v>
      </c>
      <c r="M14" s="47" t="str">
        <f>'II. Inputs, Baseline Energy Mix'!O14</f>
        <v>Coal</v>
      </c>
      <c r="N14" s="48" t="str">
        <f>'II. Inputs, Baseline Energy Mix'!P14</f>
        <v>Hydro</v>
      </c>
      <c r="O14" s="16" t="str">
        <f>'II. Inputs, Baseline Energy Mix'!Q14</f>
        <v>Diesel Fuel</v>
      </c>
      <c r="P14" s="17" t="str">
        <f>'II. Inputs, Baseline Energy Mix'!R14</f>
        <v>Heavy Fuel Oil</v>
      </c>
      <c r="Q14" s="49" t="str">
        <f>'II. Inputs, Baseline Energy Mix'!S14</f>
        <v>Geothermal</v>
      </c>
      <c r="R14" s="18" t="s">
        <v>168</v>
      </c>
    </row>
    <row r="15" spans="1:23" s="12" customFormat="1" ht="12.75" customHeight="1" x14ac:dyDescent="0.25">
      <c r="A15" s="19"/>
      <c r="B15" s="19" t="s">
        <v>295</v>
      </c>
      <c r="C15" s="19"/>
      <c r="D15" s="19"/>
      <c r="E15" s="19"/>
      <c r="F15" s="19"/>
      <c r="G15" s="19"/>
      <c r="H15" s="19"/>
      <c r="I15" s="19"/>
      <c r="J15" s="20" t="s">
        <v>16</v>
      </c>
      <c r="K15" s="20"/>
      <c r="L15" s="742">
        <f>'II. Inputs, Baseline Energy Mix'!N15</f>
        <v>0</v>
      </c>
      <c r="M15" s="1096">
        <f>'II. Inputs, Baseline Energy Mix'!O15</f>
        <v>0</v>
      </c>
      <c r="N15" s="743">
        <f>'II. Inputs, Baseline Energy Mix'!P15</f>
        <v>0</v>
      </c>
      <c r="O15" s="744">
        <f>'II. Inputs, Baseline Energy Mix'!Q15</f>
        <v>0</v>
      </c>
      <c r="P15" s="745">
        <f>'II. Inputs, Baseline Energy Mix'!R15</f>
        <v>0</v>
      </c>
      <c r="Q15" s="1175">
        <f>'II. Inputs, Baseline Energy Mix'!S15</f>
        <v>0</v>
      </c>
      <c r="R15" s="746">
        <v>1</v>
      </c>
    </row>
    <row r="16" spans="1:23" s="12" customFormat="1" ht="12.75" customHeight="1" x14ac:dyDescent="0.25">
      <c r="A16" s="19"/>
      <c r="B16" s="11" t="s">
        <v>193</v>
      </c>
      <c r="D16" s="11"/>
      <c r="E16" s="11"/>
      <c r="F16" s="11"/>
      <c r="G16" s="11"/>
      <c r="H16" s="11"/>
      <c r="I16" s="11"/>
      <c r="J16" s="28" t="s">
        <v>614</v>
      </c>
      <c r="K16" s="28"/>
      <c r="L16" s="1250">
        <f>SUM('IV. LCOE, Baseline Energy Mix'!G59)/1000</f>
        <v>0</v>
      </c>
      <c r="M16" s="1251">
        <f>SUM('IV. LCOE, Baseline Energy Mix'!G105)/1000</f>
        <v>0</v>
      </c>
      <c r="N16" s="1252">
        <f>SUM('IV. LCOE, Baseline Energy Mix'!G153)/1000</f>
        <v>0</v>
      </c>
      <c r="O16" s="1253">
        <f>SUM('IV. LCOE, Baseline Energy Mix'!G199)/1000</f>
        <v>0</v>
      </c>
      <c r="P16" s="1254">
        <f>SUM('IV. LCOE, Baseline Energy Mix'!G247)/1000</f>
        <v>0</v>
      </c>
      <c r="Q16" s="1255">
        <f>SUM('IV. LCOE, Baseline Energy Mix'!G293)/1000</f>
        <v>0</v>
      </c>
      <c r="R16" s="1256">
        <f>(L16*L15+M16*M15+N16*N15+O16*O15+P16*P15+Q16*Q15)</f>
        <v>0</v>
      </c>
    </row>
    <row r="17" spans="1:23" ht="12.75" customHeight="1" x14ac:dyDescent="0.25">
      <c r="J17" s="754"/>
      <c r="K17" s="754"/>
      <c r="L17" s="757"/>
      <c r="M17" s="757"/>
      <c r="N17" s="758"/>
      <c r="O17" s="758"/>
      <c r="P17" s="758"/>
      <c r="Q17" s="758"/>
      <c r="R17" s="759"/>
      <c r="U17" s="23"/>
      <c r="V17" s="23"/>
      <c r="W17" s="23"/>
    </row>
    <row r="18" spans="1:23" ht="12.75" customHeight="1" x14ac:dyDescent="0.25">
      <c r="U18" s="23"/>
      <c r="V18" s="23"/>
      <c r="W18" s="23"/>
    </row>
    <row r="19" spans="1:23" ht="12.75" customHeight="1" x14ac:dyDescent="0.25">
      <c r="A19" s="44" t="s">
        <v>461</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25">
      <c r="U20" s="23"/>
      <c r="V20" s="23"/>
      <c r="W20" s="23"/>
    </row>
    <row r="21" spans="1:23" ht="12.75" customHeight="1" x14ac:dyDescent="0.25">
      <c r="U21" s="23"/>
      <c r="V21" s="23"/>
      <c r="W21" s="23"/>
    </row>
    <row r="22" spans="1:23" ht="12.75" customHeight="1" x14ac:dyDescent="0.25">
      <c r="B22" s="27" t="s">
        <v>150</v>
      </c>
      <c r="C22" s="21"/>
      <c r="D22" s="21"/>
      <c r="E22" s="21"/>
      <c r="F22" s="21"/>
      <c r="G22" s="21"/>
      <c r="H22" s="21"/>
      <c r="I22" s="21"/>
      <c r="J22" s="22"/>
      <c r="K22" s="22"/>
      <c r="L22" s="22"/>
      <c r="M22" s="21"/>
      <c r="N22" s="21"/>
      <c r="O22" s="21"/>
      <c r="P22" s="21"/>
      <c r="Q22" s="21"/>
      <c r="R22" s="21"/>
      <c r="S22" s="21"/>
    </row>
    <row r="23" spans="1:23" ht="12.75" customHeight="1" x14ac:dyDescent="0.25">
      <c r="B23" s="11"/>
    </row>
    <row r="24" spans="1:23" ht="12.75" customHeight="1" x14ac:dyDescent="0.3">
      <c r="L24" s="1518" t="s">
        <v>464</v>
      </c>
      <c r="M24" s="1519"/>
      <c r="N24" s="1519"/>
      <c r="O24" s="1520"/>
      <c r="U24" s="1492"/>
      <c r="V24" s="1492"/>
      <c r="W24" s="1493"/>
    </row>
    <row r="25" spans="1:23" ht="12.75" customHeight="1" x14ac:dyDescent="0.25">
      <c r="C25" s="8" t="s">
        <v>46</v>
      </c>
      <c r="J25" s="9" t="s">
        <v>15</v>
      </c>
      <c r="L25" s="1521">
        <f>'III. Inputs, Renewable Energy'!$U$14</f>
        <v>500</v>
      </c>
      <c r="M25" s="1522"/>
      <c r="N25" s="1522"/>
      <c r="O25" s="1523"/>
      <c r="U25" s="1494"/>
      <c r="V25" s="1494"/>
      <c r="W25" s="1493"/>
    </row>
    <row r="26" spans="1:23" ht="12.75" customHeight="1" x14ac:dyDescent="0.25">
      <c r="C26" s="8" t="s">
        <v>192</v>
      </c>
      <c r="L26" s="1524"/>
      <c r="M26" s="1492"/>
      <c r="N26" s="1492"/>
      <c r="O26" s="1525"/>
      <c r="U26" s="42"/>
      <c r="V26" s="42"/>
      <c r="W26" s="10"/>
    </row>
    <row r="27" spans="1:23" ht="12.75" customHeight="1" x14ac:dyDescent="0.25">
      <c r="D27" s="8" t="s">
        <v>462</v>
      </c>
      <c r="J27" s="9" t="s">
        <v>16</v>
      </c>
      <c r="L27" s="1512">
        <f>IF(L25&gt;0, 'III. Inputs, Renewable Energy'!$U$216,0)</f>
        <v>0</v>
      </c>
      <c r="M27" s="1513"/>
      <c r="N27" s="1513"/>
      <c r="O27" s="1514"/>
      <c r="U27" s="1492"/>
      <c r="V27" s="1492"/>
      <c r="W27" s="1493"/>
    </row>
    <row r="28" spans="1:23" ht="12.75" customHeight="1" x14ac:dyDescent="0.25">
      <c r="D28" s="8" t="s">
        <v>174</v>
      </c>
      <c r="J28" s="9" t="s">
        <v>433</v>
      </c>
      <c r="L28" s="1526">
        <f>IF(L25&gt;0, 24*365*$L$27*$L$25,0)</f>
        <v>0</v>
      </c>
      <c r="M28" s="1527"/>
      <c r="N28" s="1527"/>
      <c r="O28" s="1528"/>
    </row>
    <row r="29" spans="1:23" ht="12.75" customHeight="1" x14ac:dyDescent="0.25">
      <c r="C29" s="8" t="s">
        <v>197</v>
      </c>
      <c r="L29" s="1526"/>
      <c r="M29" s="1527"/>
      <c r="N29" s="1527"/>
      <c r="O29" s="1528"/>
    </row>
    <row r="30" spans="1:23" ht="12.75" customHeight="1" x14ac:dyDescent="0.25">
      <c r="D30" s="8" t="s">
        <v>198</v>
      </c>
      <c r="J30" s="9" t="s">
        <v>20</v>
      </c>
      <c r="L30" s="1524" t="str">
        <f>IF(L25&gt;0, 'III. Inputs, Renewable Energy'!$U$17,0)</f>
        <v>MODEL VERSION 2.0 (OCTOBER 2016)</v>
      </c>
      <c r="M30" s="1492"/>
      <c r="N30" s="1492"/>
      <c r="O30" s="1525"/>
      <c r="U30" s="24"/>
      <c r="V30" s="24"/>
      <c r="W30" s="10"/>
    </row>
    <row r="31" spans="1:23" ht="12.75" customHeight="1" x14ac:dyDescent="0.25">
      <c r="D31" s="34" t="s">
        <v>463</v>
      </c>
      <c r="J31" s="9" t="s">
        <v>615</v>
      </c>
      <c r="L31" s="1529">
        <f>'III. Inputs, Renewable Energy'!$U$15</f>
        <v>0</v>
      </c>
      <c r="M31" s="1530"/>
      <c r="N31" s="1530"/>
      <c r="O31" s="1531"/>
      <c r="Q31" s="1169"/>
      <c r="U31" s="24"/>
      <c r="V31" s="24"/>
      <c r="W31" s="10"/>
    </row>
    <row r="32" spans="1:23" x14ac:dyDescent="0.25">
      <c r="C32" s="8" t="s">
        <v>199</v>
      </c>
      <c r="L32" s="1532"/>
      <c r="M32" s="1533"/>
      <c r="N32" s="1533"/>
      <c r="O32" s="1534"/>
    </row>
    <row r="33" spans="2:23" ht="12.75" customHeight="1" x14ac:dyDescent="0.25">
      <c r="D33" s="8" t="s">
        <v>171</v>
      </c>
      <c r="J33" s="9" t="s">
        <v>16</v>
      </c>
      <c r="L33" s="1512">
        <f>IF(L25&gt;0, 'III. Inputs, Renewable Energy'!$U$18,0)</f>
        <v>0</v>
      </c>
      <c r="M33" s="1513"/>
      <c r="N33" s="1513"/>
      <c r="O33" s="1514"/>
      <c r="U33" s="23"/>
      <c r="V33" s="23"/>
      <c r="W33" s="23"/>
    </row>
    <row r="34" spans="2:23" ht="12.75" customHeight="1" x14ac:dyDescent="0.25">
      <c r="D34" s="8" t="s">
        <v>172</v>
      </c>
      <c r="J34" s="9" t="s">
        <v>16</v>
      </c>
      <c r="L34" s="1515">
        <f>IF(L25&gt;0, 'III. Inputs, Renewable Energy'!$U$19,0)</f>
        <v>0.06</v>
      </c>
      <c r="M34" s="1516"/>
      <c r="N34" s="1516"/>
      <c r="O34" s="1517"/>
      <c r="U34" s="23"/>
      <c r="V34" s="23"/>
      <c r="W34" s="23"/>
    </row>
    <row r="35" spans="2:23" ht="12.75" customHeight="1" x14ac:dyDescent="0.25">
      <c r="U35" s="23"/>
      <c r="V35" s="23"/>
      <c r="W35" s="23"/>
    </row>
    <row r="36" spans="2:23" ht="12.75" customHeight="1" x14ac:dyDescent="0.25">
      <c r="U36" s="23"/>
      <c r="V36" s="23"/>
      <c r="W36" s="23"/>
    </row>
    <row r="37" spans="2:23" ht="12.75" customHeight="1" x14ac:dyDescent="0.25">
      <c r="B37" s="52" t="s">
        <v>140</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25">
      <c r="U38" s="23"/>
      <c r="V38" s="23"/>
      <c r="W38" s="23"/>
    </row>
    <row r="39" spans="2:23" ht="12.75" customHeight="1" x14ac:dyDescent="0.25">
      <c r="B39" s="11"/>
      <c r="L39" s="1505" t="s">
        <v>464</v>
      </c>
      <c r="M39" s="1506"/>
      <c r="N39" s="1506"/>
      <c r="O39" s="1507"/>
      <c r="U39" s="23"/>
      <c r="V39" s="23"/>
      <c r="W39" s="23"/>
    </row>
    <row r="40" spans="2:23" ht="12.75" customHeight="1" x14ac:dyDescent="0.25">
      <c r="L40" s="1501" t="s">
        <v>200</v>
      </c>
      <c r="M40" s="1502"/>
      <c r="N40" s="1503" t="s">
        <v>201</v>
      </c>
      <c r="O40" s="1504"/>
    </row>
    <row r="41" spans="2:23" ht="12.75" customHeight="1" x14ac:dyDescent="0.25">
      <c r="C41" s="8" t="s">
        <v>26</v>
      </c>
      <c r="L41" s="1497"/>
      <c r="M41" s="1498"/>
      <c r="N41" s="1508"/>
      <c r="O41" s="1509"/>
      <c r="U41" s="1494"/>
      <c r="V41" s="1494"/>
      <c r="W41" s="1493"/>
    </row>
    <row r="42" spans="2:23" ht="12.75" customHeight="1" x14ac:dyDescent="0.25">
      <c r="D42" s="8" t="s">
        <v>149</v>
      </c>
      <c r="J42" s="9" t="s">
        <v>16</v>
      </c>
      <c r="L42" s="1499" t="str">
        <f>CONCATENATE('III. Inputs, Renewable Energy'!$S$29*100,"%/",'III. Inputs, Renewable Energy'!$S$28*100,"%")</f>
        <v>0%/0%</v>
      </c>
      <c r="M42" s="1500"/>
      <c r="N42" s="1510" t="str">
        <f>CONCATENATE('III. Inputs, Renewable Energy'!$V$29*100,"%/",'III. Inputs, Renewable Energy'!$V$28*100,"%")</f>
        <v>0%/0%</v>
      </c>
      <c r="O42" s="1511"/>
      <c r="U42" s="1495"/>
      <c r="V42" s="1495"/>
      <c r="W42" s="1496"/>
    </row>
    <row r="43" spans="2:23" ht="12.75" customHeight="1" x14ac:dyDescent="0.25">
      <c r="L43" s="1497"/>
      <c r="M43" s="1498"/>
      <c r="N43" s="1508"/>
      <c r="O43" s="1509"/>
    </row>
    <row r="44" spans="2:23" ht="12.75" customHeight="1" x14ac:dyDescent="0.25">
      <c r="C44" s="8" t="s">
        <v>79</v>
      </c>
      <c r="J44" s="9" t="s">
        <v>16</v>
      </c>
      <c r="L44" s="1551">
        <f>'III. Inputs, Renewable Energy'!S36</f>
        <v>0</v>
      </c>
      <c r="M44" s="1552"/>
      <c r="N44" s="1549">
        <f>'III. Inputs, Renewable Energy'!V36</f>
        <v>0</v>
      </c>
      <c r="O44" s="1550"/>
    </row>
    <row r="45" spans="2:23" ht="12.75" customHeight="1" x14ac:dyDescent="0.25">
      <c r="C45" s="11"/>
      <c r="J45" s="685"/>
      <c r="K45" s="685"/>
      <c r="L45" s="703"/>
      <c r="M45" s="704"/>
      <c r="N45" s="686"/>
      <c r="O45" s="687"/>
    </row>
    <row r="46" spans="2:23" ht="12.75" customHeight="1" x14ac:dyDescent="0.25">
      <c r="C46" s="8" t="s">
        <v>54</v>
      </c>
      <c r="L46" s="1497"/>
      <c r="M46" s="1498"/>
      <c r="N46" s="1547"/>
      <c r="O46" s="1548"/>
    </row>
    <row r="47" spans="2:23" ht="12.75" customHeight="1" x14ac:dyDescent="0.25">
      <c r="D47" s="760" t="s">
        <v>217</v>
      </c>
      <c r="E47" s="26"/>
      <c r="F47" s="26"/>
      <c r="G47" s="26"/>
      <c r="H47" s="26"/>
      <c r="J47" s="9" t="s">
        <v>16</v>
      </c>
      <c r="L47" s="1551" t="str">
        <f>'III. Inputs, Renewable Energy'!S38</f>
        <v>NA</v>
      </c>
      <c r="M47" s="1552"/>
      <c r="N47" s="1549" t="str">
        <f>'III. Inputs, Renewable Energy'!V38</f>
        <v>NA</v>
      </c>
      <c r="O47" s="1550"/>
    </row>
    <row r="48" spans="2:23" ht="12.75" customHeight="1" x14ac:dyDescent="0.25">
      <c r="D48" s="8" t="s">
        <v>298</v>
      </c>
      <c r="J48" s="9" t="s">
        <v>16</v>
      </c>
      <c r="L48" s="1551" t="str">
        <f>'III. Inputs, Renewable Energy'!S39</f>
        <v>NA</v>
      </c>
      <c r="M48" s="1552"/>
      <c r="N48" s="1549" t="str">
        <f>'III. Inputs, Renewable Energy'!V39</f>
        <v>NA</v>
      </c>
      <c r="O48" s="1550"/>
    </row>
    <row r="49" spans="2:19" ht="12.75" customHeight="1" x14ac:dyDescent="0.25">
      <c r="D49" s="8" t="s">
        <v>299</v>
      </c>
      <c r="J49" s="9" t="s">
        <v>16</v>
      </c>
      <c r="L49" s="1551" t="str">
        <f>IF(('III. Inputs, Renewable Energy'!S33=0), "NA", 'III. Inputs, Renewable Energy'!S40)</f>
        <v>NA</v>
      </c>
      <c r="M49" s="1552"/>
      <c r="N49" s="1549" t="str">
        <f>IF('III. Inputs, Renewable Energy'!V40=0, "NA", 'III. Inputs, Renewable Energy'!V40)</f>
        <v>NA</v>
      </c>
      <c r="O49" s="1550"/>
    </row>
    <row r="50" spans="2:19" ht="12.75" customHeight="1" x14ac:dyDescent="0.25">
      <c r="L50" s="1497"/>
      <c r="M50" s="1498"/>
      <c r="N50" s="1547"/>
      <c r="O50" s="1548"/>
    </row>
    <row r="51" spans="2:19" ht="12.75" customHeight="1" x14ac:dyDescent="0.25">
      <c r="C51" s="8" t="s">
        <v>432</v>
      </c>
      <c r="J51" s="1068" t="s">
        <v>16</v>
      </c>
      <c r="K51" s="1068"/>
      <c r="L51" s="1605" t="str">
        <f>IFERROR(('III. Inputs, Renewable Energy'!S29*(1-L33)*((SUM(L47)*(L91/L94))+(SUM(L48)*(L92/L94))+(SUM(L49)*(L93/L94))))+('III. Inputs, Renewable Energy'!S28*L44),"NA")</f>
        <v>NA</v>
      </c>
      <c r="M51" s="1606"/>
      <c r="N51" s="1549" t="str">
        <f>IFERROR(('III. Inputs, Renewable Energy'!V29*(1-L33)*((SUM(N47)*(N91/N94))+(SUM(N48)*(N92/N94))+(SUM(N49)*(N93/N94)))+('III. Inputs, Renewable Energy'!V28*N44)),"NA")</f>
        <v>NA</v>
      </c>
      <c r="O51" s="1550"/>
    </row>
    <row r="52" spans="2:19" ht="12.75" customHeight="1" x14ac:dyDescent="0.25">
      <c r="J52" s="1068"/>
      <c r="K52" s="1068"/>
      <c r="L52" s="1071"/>
      <c r="M52" s="1072"/>
      <c r="N52" s="1069"/>
      <c r="O52" s="1070"/>
    </row>
    <row r="53" spans="2:19" ht="12.75" customHeight="1" x14ac:dyDescent="0.25">
      <c r="C53" s="8" t="s">
        <v>141</v>
      </c>
      <c r="L53" s="1497"/>
      <c r="M53" s="1498"/>
      <c r="N53" s="1547"/>
      <c r="O53" s="1548"/>
    </row>
    <row r="54" spans="2:19" ht="12.75" customHeight="1" x14ac:dyDescent="0.25">
      <c r="D54" s="760" t="s">
        <v>217</v>
      </c>
      <c r="E54" s="26"/>
      <c r="F54" s="26"/>
      <c r="G54" s="26"/>
      <c r="H54" s="26"/>
      <c r="J54" s="9" t="s">
        <v>20</v>
      </c>
      <c r="L54" s="1555" t="str">
        <f>IF('III. Inputs, Renewable Energy'!S43=0,"NA",'III. Inputs, Renewable Energy'!S43)</f>
        <v>NA</v>
      </c>
      <c r="M54" s="1556"/>
      <c r="N54" s="1635" t="str">
        <f>IF('III. Inputs, Renewable Energy'!V43=0,"NA",'III. Inputs, Renewable Energy'!V43)</f>
        <v>NA</v>
      </c>
      <c r="O54" s="1636"/>
    </row>
    <row r="55" spans="2:19" ht="12.75" customHeight="1" x14ac:dyDescent="0.25">
      <c r="D55" s="8" t="s">
        <v>298</v>
      </c>
      <c r="J55" s="9" t="s">
        <v>20</v>
      </c>
      <c r="L55" s="1555" t="str">
        <f>IF('III. Inputs, Renewable Energy'!S44=0,"NA",'III. Inputs, Renewable Energy'!S44)</f>
        <v>NA</v>
      </c>
      <c r="M55" s="1556"/>
      <c r="N55" s="1635" t="str">
        <f>IF('III. Inputs, Renewable Energy'!V44=0,"NA",'III. Inputs, Renewable Energy'!V44)</f>
        <v>NA</v>
      </c>
      <c r="O55" s="1636"/>
    </row>
    <row r="56" spans="2:19" ht="12.75" customHeight="1" x14ac:dyDescent="0.25">
      <c r="D56" s="8" t="s">
        <v>299</v>
      </c>
      <c r="J56" s="9" t="s">
        <v>20</v>
      </c>
      <c r="L56" s="1557" t="str">
        <f>IF('III. Inputs, Renewable Energy'!S33=0,"NA", 'III. Inputs, Renewable Energy'!S45)</f>
        <v>NA</v>
      </c>
      <c r="M56" s="1558"/>
      <c r="N56" s="1637">
        <f>IF('III. Inputs, Renewable Energy'!V45=0, "NA", 'III. Inputs, Renewable Energy'!V45)</f>
        <v>12</v>
      </c>
      <c r="O56" s="1638"/>
    </row>
    <row r="57" spans="2:19" ht="12.75" customHeight="1" x14ac:dyDescent="0.25">
      <c r="L57" s="1533"/>
      <c r="M57" s="1533"/>
      <c r="N57" s="1639"/>
      <c r="O57" s="1639"/>
    </row>
    <row r="58" spans="2:19" ht="12.75" customHeight="1" x14ac:dyDescent="0.25">
      <c r="M58" s="9"/>
      <c r="N58" s="53"/>
      <c r="O58" s="53"/>
    </row>
    <row r="59" spans="2:19" ht="12.75" customHeight="1" x14ac:dyDescent="0.25">
      <c r="B59" s="52" t="s">
        <v>297</v>
      </c>
      <c r="C59" s="21"/>
      <c r="D59" s="21"/>
      <c r="E59" s="21"/>
      <c r="F59" s="21"/>
      <c r="G59" s="21"/>
      <c r="H59" s="21"/>
      <c r="I59" s="21"/>
      <c r="J59" s="22"/>
      <c r="K59" s="22"/>
      <c r="L59" s="22"/>
      <c r="M59" s="21"/>
      <c r="N59" s="21"/>
      <c r="O59" s="21"/>
      <c r="P59" s="21"/>
      <c r="Q59" s="21"/>
      <c r="R59" s="21"/>
      <c r="S59" s="21"/>
    </row>
    <row r="60" spans="2:19" ht="12.75" customHeight="1" x14ac:dyDescent="0.25">
      <c r="M60" s="9"/>
      <c r="N60" s="53"/>
      <c r="O60" s="53"/>
    </row>
    <row r="61" spans="2:19" ht="12.75" customHeight="1" x14ac:dyDescent="0.25">
      <c r="L61" s="1518" t="s">
        <v>464</v>
      </c>
      <c r="M61" s="1553"/>
      <c r="N61" s="1553"/>
      <c r="O61" s="1554"/>
    </row>
    <row r="62" spans="2:19" ht="12.75" customHeight="1" x14ac:dyDescent="0.25">
      <c r="L62" s="1501" t="s">
        <v>200</v>
      </c>
      <c r="M62" s="1502"/>
      <c r="N62" s="1503" t="s">
        <v>201</v>
      </c>
      <c r="O62" s="1504"/>
    </row>
    <row r="63" spans="2:19" s="11" customFormat="1" ht="12.75" customHeight="1" x14ac:dyDescent="0.25">
      <c r="B63" s="11" t="s">
        <v>465</v>
      </c>
      <c r="J63" s="28" t="s">
        <v>614</v>
      </c>
      <c r="K63" s="28"/>
      <c r="L63" s="1539" t="e">
        <f>SUM(L64:M66)</f>
        <v>#VALUE!</v>
      </c>
      <c r="M63" s="1540"/>
      <c r="N63" s="1541" t="e">
        <f>SUM(N64:O66)</f>
        <v>#VALUE!</v>
      </c>
      <c r="O63" s="1542"/>
    </row>
    <row r="64" spans="2:19" s="11" customFormat="1" ht="12.75" customHeight="1" x14ac:dyDescent="0.3">
      <c r="C64" s="8" t="s">
        <v>466</v>
      </c>
      <c r="J64" s="1068" t="s">
        <v>614</v>
      </c>
      <c r="K64" s="1073"/>
      <c r="L64" s="1607" t="e">
        <f>'V. LCOE, Ren. En. Generation'!G50/1000</f>
        <v>#VALUE!</v>
      </c>
      <c r="M64" s="1608"/>
      <c r="N64" s="1611" t="e">
        <f>'V. LCOE, Ren. En. Generation'!G140/1000</f>
        <v>#VALUE!</v>
      </c>
      <c r="O64" s="1608"/>
    </row>
    <row r="65" spans="2:19" s="11" customFormat="1" ht="12.75" customHeight="1" x14ac:dyDescent="0.3">
      <c r="C65" s="8" t="s">
        <v>496</v>
      </c>
      <c r="J65" s="1068" t="s">
        <v>614</v>
      </c>
      <c r="K65" s="1073"/>
      <c r="L65" s="1607">
        <f>IF(ISERROR('VI. LCOE, Ren. En. Grid Intconx'!G50/1000),0,'VI. LCOE, Ren. En. Grid Intconx'!G50/1000)</f>
        <v>0</v>
      </c>
      <c r="M65" s="1608"/>
      <c r="N65" s="1611">
        <f>IF(ISERROR('VI. LCOE, Ren. En. Grid Intconx'!G140/1000),0,'VI. LCOE, Ren. En. Grid Intconx'!G140/1000)</f>
        <v>0</v>
      </c>
      <c r="O65" s="1608"/>
    </row>
    <row r="66" spans="2:19" s="11" customFormat="1" ht="12.75" hidden="1" customHeight="1" outlineLevel="1" x14ac:dyDescent="0.3">
      <c r="C66" s="8" t="s">
        <v>467</v>
      </c>
      <c r="J66" s="1068" t="s">
        <v>614</v>
      </c>
      <c r="K66" s="1073"/>
      <c r="L66" s="1609">
        <v>0</v>
      </c>
      <c r="M66" s="1610"/>
      <c r="N66" s="1612">
        <v>0</v>
      </c>
      <c r="O66" s="1613"/>
    </row>
    <row r="67" spans="2:19" s="11" customFormat="1" ht="12.75" customHeight="1" collapsed="1" x14ac:dyDescent="0.3">
      <c r="C67" s="8"/>
      <c r="J67" s="1068"/>
      <c r="K67" s="1073"/>
      <c r="L67" s="1614"/>
      <c r="M67" s="1615"/>
      <c r="N67" s="1646"/>
      <c r="O67" s="1615"/>
    </row>
    <row r="68" spans="2:19" ht="12.75" customHeight="1" x14ac:dyDescent="0.25">
      <c r="B68" s="8" t="s">
        <v>292</v>
      </c>
      <c r="C68" s="11"/>
      <c r="D68" s="11"/>
      <c r="E68" s="11"/>
      <c r="F68" s="11"/>
      <c r="G68" s="11"/>
      <c r="H68" s="11"/>
      <c r="J68" s="9" t="s">
        <v>614</v>
      </c>
      <c r="L68" s="1543">
        <f>'I. Summary Outputs'!$R$16</f>
        <v>0</v>
      </c>
      <c r="M68" s="1544"/>
      <c r="N68" s="1545">
        <f>'I. Summary Outputs'!$R$16</f>
        <v>0</v>
      </c>
      <c r="O68" s="1546"/>
    </row>
    <row r="69" spans="2:19" ht="12.75" customHeight="1" x14ac:dyDescent="0.25">
      <c r="C69" s="11"/>
      <c r="D69" s="11"/>
      <c r="E69" s="11"/>
      <c r="F69" s="11"/>
      <c r="G69" s="11"/>
      <c r="H69" s="11"/>
      <c r="J69" s="685"/>
      <c r="K69" s="685"/>
      <c r="L69" s="738"/>
      <c r="M69" s="739"/>
      <c r="N69" s="740"/>
      <c r="O69" s="741"/>
    </row>
    <row r="70" spans="2:19" ht="12.75" customHeight="1" x14ac:dyDescent="0.25">
      <c r="B70" s="11"/>
      <c r="C70" s="8" t="s">
        <v>468</v>
      </c>
      <c r="J70" s="685" t="s">
        <v>614</v>
      </c>
      <c r="K70" s="685"/>
      <c r="L70" s="1535" t="e">
        <f>L63-L68</f>
        <v>#VALUE!</v>
      </c>
      <c r="M70" s="1536"/>
      <c r="N70" s="1537" t="e">
        <f>N63-N68</f>
        <v>#VALUE!</v>
      </c>
      <c r="O70" s="1538"/>
    </row>
    <row r="71" spans="2:19" ht="12.75" customHeight="1" x14ac:dyDescent="0.25">
      <c r="D71" s="8" t="s">
        <v>294</v>
      </c>
      <c r="J71" s="685" t="s">
        <v>616</v>
      </c>
      <c r="L71" s="1565" t="e">
        <f>L28*L70*1000</f>
        <v>#VALUE!</v>
      </c>
      <c r="M71" s="1566"/>
      <c r="N71" s="1567" t="e">
        <f>L28*N70*1000</f>
        <v>#VALUE!</v>
      </c>
      <c r="O71" s="1568"/>
    </row>
    <row r="72" spans="2:19" ht="12.75" customHeight="1" x14ac:dyDescent="0.25">
      <c r="D72" s="1634" t="str">
        <f>CONCATENATE("Present Value of Total Incremental Cost", " Over ", $L$30, " Years")</f>
        <v>Present Value of Total Incremental Cost Over MODEL VERSION 2.0 (OCTOBER 2016) Years</v>
      </c>
      <c r="E72" s="1634"/>
      <c r="F72" s="1634"/>
      <c r="G72" s="1634"/>
      <c r="H72" s="1634"/>
      <c r="I72" s="1634"/>
      <c r="J72" s="9" t="s">
        <v>154</v>
      </c>
      <c r="L72" s="1565" t="e">
        <f>PV(L34,L30,-L71)</f>
        <v>#VALUE!</v>
      </c>
      <c r="M72" s="1566"/>
      <c r="N72" s="1567" t="e">
        <f>PV(L34,L30,-N71)</f>
        <v>#VALUE!</v>
      </c>
      <c r="O72" s="1568"/>
      <c r="P72" s="29"/>
    </row>
    <row r="73" spans="2:19" ht="12.75" customHeight="1" x14ac:dyDescent="0.25">
      <c r="J73" s="685"/>
      <c r="K73" s="685"/>
      <c r="L73" s="701"/>
      <c r="M73" s="702"/>
      <c r="N73" s="699"/>
      <c r="O73" s="700"/>
      <c r="P73" s="29"/>
    </row>
    <row r="74" spans="2:19" ht="12.75" customHeight="1" x14ac:dyDescent="0.25">
      <c r="B74" s="11"/>
      <c r="C74" s="8" t="s">
        <v>469</v>
      </c>
      <c r="J74" s="685" t="s">
        <v>614</v>
      </c>
      <c r="K74" s="685"/>
      <c r="L74" s="1565"/>
      <c r="M74" s="1566"/>
      <c r="N74" s="1569" t="e">
        <f>N70-L70</f>
        <v>#VALUE!</v>
      </c>
      <c r="O74" s="1570"/>
    </row>
    <row r="75" spans="2:19" ht="12.75" customHeight="1" x14ac:dyDescent="0.25">
      <c r="D75" s="8" t="s">
        <v>293</v>
      </c>
      <c r="J75" s="685" t="s">
        <v>616</v>
      </c>
      <c r="K75" s="28"/>
      <c r="L75" s="1565"/>
      <c r="M75" s="1566"/>
      <c r="N75" s="1571" t="e">
        <f>N74*L28*1000</f>
        <v>#VALUE!</v>
      </c>
      <c r="O75" s="1572"/>
    </row>
    <row r="76" spans="2:19" ht="12.75" customHeight="1" x14ac:dyDescent="0.25">
      <c r="D76" s="1634" t="str">
        <f>CONCATENATE("Present Value of Total Savings Due to Derisking", " Over ", $L$30, " Years")</f>
        <v>Present Value of Total Savings Due to Derisking Over MODEL VERSION 2.0 (OCTOBER 2016) Years</v>
      </c>
      <c r="E76" s="1634"/>
      <c r="F76" s="1634"/>
      <c r="G76" s="1634"/>
      <c r="H76" s="1634"/>
      <c r="I76" s="1634"/>
      <c r="J76" s="1062" t="s">
        <v>154</v>
      </c>
      <c r="K76" s="28"/>
      <c r="L76" s="1575"/>
      <c r="M76" s="1576"/>
      <c r="N76" s="1573" t="e">
        <f>PV(L34,L30,-N75)</f>
        <v>#VALUE!</v>
      </c>
      <c r="O76" s="1574"/>
    </row>
    <row r="77" spans="2:19" ht="12.75" customHeight="1" x14ac:dyDescent="0.25"/>
    <row r="78" spans="2:19" ht="12.75" customHeight="1" x14ac:dyDescent="0.25">
      <c r="J78" s="685"/>
      <c r="K78" s="685"/>
      <c r="L78" s="685"/>
    </row>
    <row r="79" spans="2:19" ht="12.75" customHeight="1" x14ac:dyDescent="0.25">
      <c r="B79" s="52" t="s">
        <v>142</v>
      </c>
      <c r="C79" s="21"/>
      <c r="D79" s="21"/>
      <c r="E79" s="21"/>
      <c r="F79" s="21"/>
      <c r="G79" s="21"/>
      <c r="H79" s="21"/>
      <c r="I79" s="21"/>
      <c r="J79" s="22"/>
      <c r="K79" s="22"/>
      <c r="L79" s="22"/>
      <c r="M79" s="21"/>
      <c r="N79" s="21"/>
      <c r="O79" s="21"/>
      <c r="P79" s="21"/>
      <c r="Q79" s="21"/>
      <c r="R79" s="21"/>
      <c r="S79" s="21"/>
    </row>
    <row r="80" spans="2:19" ht="12.75" customHeight="1" x14ac:dyDescent="0.25">
      <c r="I80" s="11"/>
      <c r="J80" s="28"/>
      <c r="K80" s="28"/>
      <c r="L80" s="28"/>
    </row>
    <row r="81" spans="2:17" ht="12.75" customHeight="1" x14ac:dyDescent="0.25">
      <c r="L81" s="1518" t="s">
        <v>464</v>
      </c>
      <c r="M81" s="1553"/>
      <c r="N81" s="1553"/>
      <c r="O81" s="1554"/>
    </row>
    <row r="82" spans="2:17" ht="12.75" customHeight="1" x14ac:dyDescent="0.25">
      <c r="B82" s="11"/>
      <c r="J82" s="685"/>
      <c r="K82" s="685"/>
      <c r="L82" s="1501" t="s">
        <v>200</v>
      </c>
      <c r="M82" s="1502"/>
      <c r="N82" s="1503" t="s">
        <v>201</v>
      </c>
      <c r="O82" s="1504"/>
    </row>
    <row r="83" spans="2:17" ht="12.75" customHeight="1" x14ac:dyDescent="0.25">
      <c r="B83" s="8" t="s">
        <v>470</v>
      </c>
      <c r="I83" s="685"/>
      <c r="J83" s="1062" t="s">
        <v>154</v>
      </c>
      <c r="K83" s="8"/>
      <c r="L83" s="1559">
        <f>L84+L85</f>
        <v>0</v>
      </c>
      <c r="M83" s="1560"/>
      <c r="N83" s="1579">
        <f>N84+N85</f>
        <v>0</v>
      </c>
      <c r="O83" s="1580"/>
    </row>
    <row r="84" spans="2:17" ht="12.75" hidden="1" customHeight="1" outlineLevel="1" x14ac:dyDescent="0.3">
      <c r="C84" s="8" t="s">
        <v>607</v>
      </c>
      <c r="I84" s="1237"/>
      <c r="J84" s="1237" t="s">
        <v>154</v>
      </c>
      <c r="K84" s="8"/>
      <c r="L84" s="1565">
        <f>$L$25*$L$31</f>
        <v>0</v>
      </c>
      <c r="M84" s="1647"/>
      <c r="N84" s="1567">
        <f>$L$25*$L$31</f>
        <v>0</v>
      </c>
      <c r="O84" s="1647"/>
    </row>
    <row r="85" spans="2:17" ht="12.75" hidden="1" customHeight="1" outlineLevel="1" x14ac:dyDescent="0.3">
      <c r="C85" s="8" t="s">
        <v>608</v>
      </c>
      <c r="I85" s="1237"/>
      <c r="J85" s="1237" t="s">
        <v>154</v>
      </c>
      <c r="K85" s="8"/>
      <c r="L85" s="1565">
        <f>'III. Inputs, Renewable Energy'!U248</f>
        <v>0</v>
      </c>
      <c r="M85" s="1647"/>
      <c r="N85" s="1567">
        <f>'III. Inputs, Renewable Energy'!U248</f>
        <v>0</v>
      </c>
      <c r="O85" s="1647"/>
    </row>
    <row r="86" spans="2:17" ht="12.75" customHeight="1" collapsed="1" x14ac:dyDescent="0.25">
      <c r="I86" s="685"/>
      <c r="J86" s="8"/>
      <c r="K86" s="8"/>
      <c r="L86" s="1561"/>
      <c r="M86" s="1562"/>
      <c r="N86" s="1577"/>
      <c r="O86" s="1578"/>
    </row>
    <row r="87" spans="2:17" ht="12.75" customHeight="1" x14ac:dyDescent="0.25">
      <c r="B87" s="8" t="s">
        <v>143</v>
      </c>
      <c r="I87" s="685"/>
      <c r="J87" s="1062" t="s">
        <v>154</v>
      </c>
      <c r="K87" s="8"/>
      <c r="L87" s="1561">
        <f>L83*'III. Inputs, Renewable Energy'!S28</f>
        <v>0</v>
      </c>
      <c r="M87" s="1562"/>
      <c r="N87" s="1577">
        <f>N83*'III. Inputs, Renewable Energy'!V28</f>
        <v>0</v>
      </c>
      <c r="O87" s="1578"/>
      <c r="Q87" s="30"/>
    </row>
    <row r="88" spans="2:17" ht="12.75" customHeight="1" x14ac:dyDescent="0.25">
      <c r="I88" s="688"/>
      <c r="J88" s="8"/>
      <c r="K88" s="8"/>
      <c r="L88" s="1563"/>
      <c r="M88" s="1564"/>
      <c r="N88" s="1581"/>
      <c r="O88" s="1582">
        <f>SUM(O87)</f>
        <v>0</v>
      </c>
      <c r="Q88" s="31"/>
    </row>
    <row r="89" spans="2:17" s="11" customFormat="1" ht="12.75" customHeight="1" x14ac:dyDescent="0.25">
      <c r="B89" s="8" t="s">
        <v>296</v>
      </c>
      <c r="I89" s="688"/>
      <c r="L89" s="1586"/>
      <c r="M89" s="1587"/>
      <c r="N89" s="1588"/>
      <c r="O89" s="1589"/>
    </row>
    <row r="90" spans="2:17" s="11" customFormat="1" ht="12.75" customHeight="1" x14ac:dyDescent="0.25">
      <c r="C90" s="8" t="s">
        <v>181</v>
      </c>
      <c r="D90" s="8"/>
      <c r="E90" s="8"/>
      <c r="F90" s="8"/>
      <c r="G90" s="8"/>
      <c r="H90" s="8"/>
      <c r="I90" s="688"/>
      <c r="L90" s="1257"/>
      <c r="M90" s="1258"/>
      <c r="N90" s="1259"/>
      <c r="O90" s="1260"/>
    </row>
    <row r="91" spans="2:17" ht="12.75" customHeight="1" x14ac:dyDescent="0.25">
      <c r="D91" s="8" t="s">
        <v>217</v>
      </c>
      <c r="I91" s="685"/>
      <c r="J91" s="1062" t="s">
        <v>154</v>
      </c>
      <c r="K91" s="705"/>
      <c r="L91" s="1561">
        <f>L$83*'III. Inputs, Renewable Energy'!S$29*SUM('III. Inputs, Renewable Energy'!S31)</f>
        <v>0</v>
      </c>
      <c r="M91" s="1562"/>
      <c r="N91" s="1577">
        <f>N$83*'III. Inputs, Renewable Energy'!V$29*SUM('III. Inputs, Renewable Energy'!V31)</f>
        <v>0</v>
      </c>
      <c r="O91" s="1578"/>
    </row>
    <row r="92" spans="2:17" ht="12.75" customHeight="1" x14ac:dyDescent="0.25">
      <c r="D92" s="8" t="s">
        <v>298</v>
      </c>
      <c r="I92" s="685"/>
      <c r="J92" s="1062" t="s">
        <v>154</v>
      </c>
      <c r="K92" s="705"/>
      <c r="L92" s="1561">
        <f>L$83*'III. Inputs, Renewable Energy'!S$29*SUM('III. Inputs, Renewable Energy'!S32)</f>
        <v>0</v>
      </c>
      <c r="M92" s="1562"/>
      <c r="N92" s="1577">
        <f>N$83*'III. Inputs, Renewable Energy'!V$29*SUM('III. Inputs, Renewable Energy'!V32)</f>
        <v>0</v>
      </c>
      <c r="O92" s="1578"/>
    </row>
    <row r="93" spans="2:17" ht="12.75" customHeight="1" x14ac:dyDescent="0.25">
      <c r="D93" s="8" t="s">
        <v>299</v>
      </c>
      <c r="I93" s="685"/>
      <c r="J93" s="1062" t="s">
        <v>154</v>
      </c>
      <c r="K93" s="705"/>
      <c r="L93" s="1561">
        <f>L$83*'III. Inputs, Renewable Energy'!S$29*'III. Inputs, Renewable Energy'!S33</f>
        <v>0</v>
      </c>
      <c r="M93" s="1562"/>
      <c r="N93" s="1577">
        <f>N$83*'III. Inputs, Renewable Energy'!V$29*'III. Inputs, Renewable Energy'!V33</f>
        <v>0</v>
      </c>
      <c r="O93" s="1578"/>
    </row>
    <row r="94" spans="2:17" ht="12.75" customHeight="1" x14ac:dyDescent="0.25">
      <c r="B94" s="8" t="s">
        <v>144</v>
      </c>
      <c r="I94" s="688"/>
      <c r="J94" s="1062" t="s">
        <v>154</v>
      </c>
      <c r="K94" s="8"/>
      <c r="L94" s="1575">
        <f>SUM(L91:M93)</f>
        <v>0</v>
      </c>
      <c r="M94" s="1576"/>
      <c r="N94" s="1590">
        <f>SUM(N91:O93)</f>
        <v>0</v>
      </c>
      <c r="O94" s="1591"/>
    </row>
    <row r="95" spans="2:17" ht="12.75" customHeight="1" x14ac:dyDescent="0.25">
      <c r="B95" s="11"/>
      <c r="I95" s="28"/>
      <c r="J95" s="8"/>
      <c r="K95" s="8"/>
      <c r="L95" s="32"/>
      <c r="M95" s="32"/>
      <c r="N95" s="32"/>
      <c r="O95" s="32"/>
    </row>
    <row r="96" spans="2:17" ht="12.75" customHeight="1" x14ac:dyDescent="0.25">
      <c r="B96" s="11"/>
      <c r="I96" s="688"/>
      <c r="J96" s="8"/>
      <c r="K96" s="8"/>
      <c r="L96" s="32"/>
      <c r="M96" s="32"/>
      <c r="N96" s="32"/>
      <c r="O96" s="32"/>
    </row>
    <row r="97" spans="2:19" ht="12.75" customHeight="1" x14ac:dyDescent="0.25">
      <c r="B97" s="52" t="s">
        <v>145</v>
      </c>
      <c r="C97" s="21"/>
      <c r="D97" s="21"/>
      <c r="E97" s="21"/>
      <c r="F97" s="21"/>
      <c r="G97" s="21"/>
      <c r="H97" s="21"/>
      <c r="I97" s="21"/>
      <c r="J97" s="22"/>
      <c r="K97" s="22"/>
      <c r="L97" s="22"/>
      <c r="M97" s="21"/>
      <c r="N97" s="21"/>
      <c r="O97" s="21"/>
      <c r="P97" s="21"/>
      <c r="Q97" s="21"/>
      <c r="R97" s="21"/>
      <c r="S97" s="21"/>
    </row>
    <row r="98" spans="2:19" ht="12.75" customHeight="1" x14ac:dyDescent="0.25">
      <c r="B98" s="36"/>
      <c r="C98" s="37"/>
      <c r="D98" s="37"/>
      <c r="E98" s="37"/>
      <c r="F98" s="37"/>
      <c r="G98" s="37"/>
      <c r="H98" s="37"/>
      <c r="I98" s="28"/>
      <c r="J98" s="8"/>
      <c r="K98" s="8"/>
      <c r="L98" s="32"/>
      <c r="M98" s="32"/>
      <c r="N98" s="32"/>
      <c r="O98" s="32"/>
    </row>
    <row r="99" spans="2:19" ht="12.75" customHeight="1" x14ac:dyDescent="0.25">
      <c r="I99" s="9"/>
      <c r="J99" s="8"/>
      <c r="K99" s="8"/>
      <c r="L99" s="1583" t="s">
        <v>464</v>
      </c>
      <c r="M99" s="1584"/>
      <c r="N99" s="1584"/>
      <c r="O99" s="1585"/>
    </row>
    <row r="100" spans="2:19" ht="12.75" customHeight="1" x14ac:dyDescent="0.25">
      <c r="I100" s="688"/>
      <c r="J100" s="8"/>
      <c r="K100" s="8"/>
      <c r="L100" s="1501" t="s">
        <v>200</v>
      </c>
      <c r="M100" s="1502"/>
      <c r="N100" s="1503" t="s">
        <v>201</v>
      </c>
      <c r="O100" s="1504"/>
    </row>
    <row r="101" spans="2:19" ht="12.75" customHeight="1" x14ac:dyDescent="0.25">
      <c r="B101" s="11" t="s">
        <v>303</v>
      </c>
      <c r="I101" s="688"/>
      <c r="J101" s="8"/>
      <c r="K101" s="8"/>
      <c r="L101" s="695"/>
      <c r="M101" s="696"/>
      <c r="N101" s="683"/>
      <c r="O101" s="684"/>
    </row>
    <row r="102" spans="2:19" ht="12.75" customHeight="1" x14ac:dyDescent="0.25">
      <c r="B102" s="11"/>
      <c r="C102" s="8" t="s">
        <v>304</v>
      </c>
      <c r="I102" s="688"/>
      <c r="J102" s="8"/>
      <c r="K102" s="8"/>
      <c r="L102" s="748"/>
      <c r="M102" s="749"/>
      <c r="N102" s="750"/>
      <c r="O102" s="751"/>
    </row>
    <row r="103" spans="2:19" ht="12.75" customHeight="1" x14ac:dyDescent="0.25">
      <c r="D103" s="8" t="str">
        <f>CONCATENATE('III. Inputs, Renewable Energy'!D83," Instruments")</f>
        <v>Power Market Risk Instruments</v>
      </c>
      <c r="I103" s="685"/>
      <c r="J103" s="1062" t="s">
        <v>154</v>
      </c>
      <c r="K103" s="705"/>
      <c r="L103" s="1565">
        <f>IF('III. Inputs, Renewable Energy'!S102="N",0,IF('III. Inputs, Renewable Energy'!Q155="Lump Sum", 'III. Inputs, Renewable Energy'!R155, 'III. Inputs, Renewable Energy'!U155))</f>
        <v>0</v>
      </c>
      <c r="M103" s="1566"/>
      <c r="N103" s="1567">
        <f>IF('III. Inputs, Renewable Energy'!V102="N",0,IF('III. Inputs, Renewable Energy'!Q155="Lump Sum", 'III. Inputs, Renewable Energy'!V155, 'III. Inputs, Renewable Energy'!Y155))</f>
        <v>0</v>
      </c>
      <c r="O103" s="1568"/>
      <c r="Q103" s="1168"/>
    </row>
    <row r="104" spans="2:19" ht="12.75" customHeight="1" x14ac:dyDescent="0.25">
      <c r="D104" s="8" t="str">
        <f>CONCATENATE('III. Inputs, Renewable Energy'!D84," Instruments")</f>
        <v>Permits Risk Instruments</v>
      </c>
      <c r="I104" s="685"/>
      <c r="J104" s="1062" t="s">
        <v>154</v>
      </c>
      <c r="K104" s="705"/>
      <c r="L104" s="1565">
        <f>IF('III. Inputs, Renewable Energy'!S103="N",0,IF('III. Inputs, Renewable Energy'!Q156="Lump Sum", 'III. Inputs, Renewable Energy'!R156, 'III. Inputs, Renewable Energy'!U156))</f>
        <v>0</v>
      </c>
      <c r="M104" s="1566"/>
      <c r="N104" s="1567">
        <f>IF('III. Inputs, Renewable Energy'!V103="N",0,IF('III. Inputs, Renewable Energy'!Q156="Lump Sum", 'III. Inputs, Renewable Energy'!V156, 'III. Inputs, Renewable Energy'!Y156))</f>
        <v>0</v>
      </c>
      <c r="O104" s="1568"/>
    </row>
    <row r="105" spans="2:19" ht="12.75" customHeight="1" x14ac:dyDescent="0.25">
      <c r="D105" s="8" t="str">
        <f>CONCATENATE('III. Inputs, Renewable Energy'!D85," Instruments")</f>
        <v>Social Acceptance Risk Instruments</v>
      </c>
      <c r="I105" s="685"/>
      <c r="J105" s="1062" t="s">
        <v>154</v>
      </c>
      <c r="K105" s="705"/>
      <c r="L105" s="1565">
        <f>IF('III. Inputs, Renewable Energy'!S104="N",0,IF('III. Inputs, Renewable Energy'!Q157="Lump Sum", 'III. Inputs, Renewable Energy'!R157, 'III. Inputs, Renewable Energy'!U157))</f>
        <v>0</v>
      </c>
      <c r="M105" s="1566"/>
      <c r="N105" s="1567">
        <f>IF('III. Inputs, Renewable Energy'!V104="N",0,IF('III. Inputs, Renewable Energy'!Q157="Lump Sum", 'III. Inputs, Renewable Energy'!V157, 'III. Inputs, Renewable Energy'!Y157))</f>
        <v>0</v>
      </c>
      <c r="O105" s="1568"/>
    </row>
    <row r="106" spans="2:19" ht="12.75" customHeight="1" x14ac:dyDescent="0.25">
      <c r="D106" s="8" t="str">
        <f>CONCATENATE('III. Inputs, Renewable Energy'!D86," Instruments")</f>
        <v>Resource &amp; Technology Risk Instruments</v>
      </c>
      <c r="I106" s="685"/>
      <c r="J106" s="1062" t="s">
        <v>154</v>
      </c>
      <c r="K106" s="705"/>
      <c r="L106" s="1565">
        <f>IF('III. Inputs, Renewable Energy'!S105="N",0,IF('III. Inputs, Renewable Energy'!Q158="Lump Sum", 'III. Inputs, Renewable Energy'!R158, 'III. Inputs, Renewable Energy'!U158))</f>
        <v>0</v>
      </c>
      <c r="M106" s="1566"/>
      <c r="N106" s="1567">
        <f>IF('III. Inputs, Renewable Energy'!V105="N",0,IF('III. Inputs, Renewable Energy'!Q158="Lump Sum", 'III. Inputs, Renewable Energy'!V158, 'III. Inputs, Renewable Energy'!Y158))</f>
        <v>0</v>
      </c>
      <c r="O106" s="1568"/>
    </row>
    <row r="107" spans="2:19" ht="12.75" customHeight="1" x14ac:dyDescent="0.25">
      <c r="D107" s="8" t="str">
        <f>CONCATENATE('III. Inputs, Renewable Energy'!D87," Instruments")</f>
        <v>Grid/Transmission Risk Instruments</v>
      </c>
      <c r="I107" s="685"/>
      <c r="J107" s="1062" t="s">
        <v>154</v>
      </c>
      <c r="K107" s="705"/>
      <c r="L107" s="1565">
        <f>IF('III. Inputs, Renewable Energy'!S106="N",0,IF('III. Inputs, Renewable Energy'!Q159="Lump Sum", 'III. Inputs, Renewable Energy'!R159, 'III. Inputs, Renewable Energy'!U159))</f>
        <v>0</v>
      </c>
      <c r="M107" s="1566"/>
      <c r="N107" s="1567">
        <f>IF('III. Inputs, Renewable Energy'!V106="N",0,IF('III. Inputs, Renewable Energy'!Q159="Lump Sum", 'III. Inputs, Renewable Energy'!V159, 'III. Inputs, Renewable Energy'!Y159))</f>
        <v>0</v>
      </c>
      <c r="O107" s="1568"/>
    </row>
    <row r="108" spans="2:19" ht="12.75" customHeight="1" x14ac:dyDescent="0.25">
      <c r="D108" s="8" t="str">
        <f>CONCATENATE('III. Inputs, Renewable Energy'!D88," Instruments")</f>
        <v>Counterparty Risk Instruments</v>
      </c>
      <c r="I108" s="685"/>
      <c r="J108" s="1062" t="s">
        <v>154</v>
      </c>
      <c r="K108" s="705"/>
      <c r="L108" s="1565">
        <f>IF('III. Inputs, Renewable Energy'!S107="N",0,IF('III. Inputs, Renewable Energy'!Q160="Lump Sum", 'III. Inputs, Renewable Energy'!R160, 'III. Inputs, Renewable Energy'!U160))</f>
        <v>0</v>
      </c>
      <c r="M108" s="1566"/>
      <c r="N108" s="1567">
        <f>IF('III. Inputs, Renewable Energy'!V107="N",0,IF('III. Inputs, Renewable Energy'!Q160="Lump Sum", 'III. Inputs, Renewable Energy'!V160, 'III. Inputs, Renewable Energy'!Y160))</f>
        <v>0</v>
      </c>
      <c r="O108" s="1568"/>
    </row>
    <row r="109" spans="2:19" ht="12.75" customHeight="1" x14ac:dyDescent="0.25">
      <c r="D109" s="8" t="str">
        <f>CONCATENATE('III. Inputs, Renewable Energy'!D89," Instruments")</f>
        <v>Financial Sector Risk Instruments</v>
      </c>
      <c r="I109" s="685"/>
      <c r="J109" s="1062" t="s">
        <v>154</v>
      </c>
      <c r="K109" s="705"/>
      <c r="L109" s="1565">
        <f>IF('III. Inputs, Renewable Energy'!S108="N",0,IF('III. Inputs, Renewable Energy'!Q161="Lump Sum", 'III. Inputs, Renewable Energy'!R161, 'III. Inputs, Renewable Energy'!U161))</f>
        <v>0</v>
      </c>
      <c r="M109" s="1566"/>
      <c r="N109" s="1567">
        <f>IF('III. Inputs, Renewable Energy'!V108="N",0,IF('III. Inputs, Renewable Energy'!Q161="Lump Sum", 'III. Inputs, Renewable Energy'!V161, 'III. Inputs, Renewable Energy'!Y161))</f>
        <v>0</v>
      </c>
      <c r="O109" s="1568"/>
    </row>
    <row r="110" spans="2:19" ht="12.75" customHeight="1" x14ac:dyDescent="0.25">
      <c r="C110" s="11" t="s">
        <v>364</v>
      </c>
      <c r="I110" s="688"/>
      <c r="J110" s="1063" t="s">
        <v>154</v>
      </c>
      <c r="K110" s="705"/>
      <c r="L110" s="1563">
        <f>SUM(L103:M109)</f>
        <v>0</v>
      </c>
      <c r="M110" s="1564"/>
      <c r="N110" s="1581">
        <f>SUM(N103:O109)</f>
        <v>0</v>
      </c>
      <c r="O110" s="1582"/>
    </row>
    <row r="111" spans="2:19" ht="12.75" customHeight="1" x14ac:dyDescent="0.25">
      <c r="I111" s="685"/>
      <c r="J111" s="685"/>
      <c r="K111" s="685"/>
      <c r="L111" s="1561"/>
      <c r="M111" s="1562"/>
      <c r="N111" s="1567"/>
      <c r="O111" s="1568"/>
    </row>
    <row r="112" spans="2:19" ht="12.75" customHeight="1" x14ac:dyDescent="0.25">
      <c r="B112" s="11" t="s">
        <v>55</v>
      </c>
      <c r="I112" s="688"/>
      <c r="J112" s="8"/>
      <c r="K112" s="8"/>
      <c r="L112" s="1586"/>
      <c r="M112" s="1587"/>
      <c r="N112" s="1567"/>
      <c r="O112" s="1568"/>
    </row>
    <row r="113" spans="2:19" ht="12.75" customHeight="1" x14ac:dyDescent="0.25">
      <c r="B113" s="11"/>
      <c r="C113" s="8" t="s">
        <v>444</v>
      </c>
      <c r="I113" s="1073"/>
      <c r="J113" s="8"/>
      <c r="K113" s="8"/>
      <c r="L113" s="1257"/>
      <c r="M113" s="1258"/>
      <c r="N113" s="1239"/>
      <c r="O113" s="1240"/>
    </row>
    <row r="114" spans="2:19" ht="12.75" customHeight="1" x14ac:dyDescent="0.25">
      <c r="B114" s="11"/>
      <c r="D114" s="8" t="str">
        <f>CONCATENATE('III. Inputs, Renewable Energy'!D87," Instruments")</f>
        <v>Grid/Transmission Risk Instruments</v>
      </c>
      <c r="I114" s="1073"/>
      <c r="J114" s="1068" t="s">
        <v>154</v>
      </c>
      <c r="K114" s="8"/>
      <c r="L114" s="1565">
        <f>IF('III. Inputs, Renewable Energy'!S114="N",0,IF('III. Inputs, Renewable Energy'!Q168="Lump Sum", 'III. Inputs, Renewable Energy'!R168, 'III. Inputs, Renewable Energy'!U168))</f>
        <v>0</v>
      </c>
      <c r="M114" s="1566"/>
      <c r="N114" s="1567">
        <f>IF('III. Inputs, Renewable Energy'!V114="N",0,IF('III. Inputs, Renewable Energy'!Q168="Lump Sum", 'III. Inputs, Renewable Energy'!V168, 'III. Inputs, Renewable Energy'!Y168))</f>
        <v>0</v>
      </c>
      <c r="O114" s="1568"/>
    </row>
    <row r="115" spans="2:19" ht="12.75" customHeight="1" x14ac:dyDescent="0.25">
      <c r="B115" s="11"/>
      <c r="D115" s="8" t="str">
        <f>CONCATENATE('III. Inputs, Renewable Energy'!D88," Instruments")</f>
        <v>Counterparty Risk Instruments</v>
      </c>
      <c r="I115" s="1073"/>
      <c r="J115" s="1068" t="s">
        <v>154</v>
      </c>
      <c r="K115" s="8"/>
      <c r="L115" s="1565">
        <f>IF('III. Inputs, Renewable Energy'!S115="N",0,IF('III. Inputs, Renewable Energy'!Q169="Lump Sum", 'III. Inputs, Renewable Energy'!R169, 'III. Inputs, Renewable Energy'!U169))</f>
        <v>0</v>
      </c>
      <c r="M115" s="1566"/>
      <c r="N115" s="1567">
        <f>IF('III. Inputs, Renewable Energy'!V115="N",0,IF('III. Inputs, Renewable Energy'!Q169="Lump Sum", 'III. Inputs, Renewable Energy'!V169, 'III. Inputs, Renewable Energy'!Y169))</f>
        <v>0</v>
      </c>
      <c r="O115" s="1568"/>
    </row>
    <row r="116" spans="2:19" ht="12.75" customHeight="1" x14ac:dyDescent="0.25">
      <c r="B116" s="11"/>
      <c r="D116" s="8" t="str">
        <f>CONCATENATE('III. Inputs, Renewable Energy'!D89," Instruments")</f>
        <v>Financial Sector Risk Instruments</v>
      </c>
      <c r="I116" s="1073"/>
      <c r="J116" s="1068"/>
      <c r="K116" s="8"/>
      <c r="L116" s="1257"/>
      <c r="M116" s="1258"/>
      <c r="N116" s="1239"/>
      <c r="O116" s="1240"/>
    </row>
    <row r="117" spans="2:19" ht="12.75" customHeight="1" x14ac:dyDescent="0.25">
      <c r="E117" s="8" t="s">
        <v>217</v>
      </c>
      <c r="I117" s="685"/>
      <c r="J117" s="1062" t="s">
        <v>154</v>
      </c>
      <c r="K117" s="705"/>
      <c r="L117" s="1565">
        <f>IFERROR(L91*'III. Inputs, Renewable Energy'!U199/'III. Inputs, Renewable Energy'!$U$207,"NA")</f>
        <v>0</v>
      </c>
      <c r="M117" s="1566"/>
      <c r="N117" s="1567">
        <f>IFERROR(N91*'III. Inputs, Renewable Energy'!$U$199/'III. Inputs, Renewable Energy'!$U$207,"NA")</f>
        <v>0</v>
      </c>
      <c r="O117" s="1568"/>
    </row>
    <row r="118" spans="2:19" ht="12.75" customHeight="1" x14ac:dyDescent="0.25">
      <c r="E118" s="8" t="s">
        <v>300</v>
      </c>
      <c r="I118" s="685"/>
      <c r="J118" s="1062" t="s">
        <v>154</v>
      </c>
      <c r="K118" s="705"/>
      <c r="L118" s="1565">
        <f>IFERROR((L92*'III. Inputs, Renewable Energy'!S184*'III. Inputs, Renewable Energy'!U201/'III. Inputs, Renewable Energy'!U207),"NA")</f>
        <v>0</v>
      </c>
      <c r="M118" s="1566"/>
      <c r="N118" s="1567">
        <f>IFERROR((N92*'III. Inputs, Renewable Energy'!V184*'III. Inputs, Renewable Energy'!$U$201/'III. Inputs, Renewable Energy'!$U$207),"NA")</f>
        <v>0</v>
      </c>
      <c r="O118" s="1568"/>
    </row>
    <row r="119" spans="2:19" ht="12.75" customHeight="1" x14ac:dyDescent="0.25">
      <c r="D119" s="8" t="str">
        <f>CONCATENATE('III. Inputs, Renewable Energy'!D90," Instruments")</f>
        <v>Political Risk Instruments</v>
      </c>
      <c r="I119" s="685"/>
      <c r="J119" s="1062" t="s">
        <v>154</v>
      </c>
      <c r="K119" s="705"/>
      <c r="L119" s="1565">
        <f>IF('III. Inputs, Renewable Energy'!S189&gt;0, 'III. Inputs, Renewable Energy'!$S$189*'III. Inputs, Renewable Energy'!$U$203*'I. Summary Outputs'!L87/'III. Inputs, Renewable Energy'!U207, 0)</f>
        <v>0</v>
      </c>
      <c r="M119" s="1566"/>
      <c r="N119" s="1567">
        <f>IF('III. Inputs, Renewable Energy'!V189&gt;0, 'III. Inputs, Renewable Energy'!$V$189*'III. Inputs, Renewable Energy'!$U$203*'I. Summary Outputs'!N87/'III. Inputs, Renewable Energy'!$U$207,0)</f>
        <v>0</v>
      </c>
      <c r="O119" s="1568"/>
      <c r="Q119" s="31"/>
      <c r="R119" s="31"/>
    </row>
    <row r="120" spans="2:19" ht="12.75" customHeight="1" x14ac:dyDescent="0.25">
      <c r="D120" s="8" t="str">
        <f>CONCATENATE('III. Inputs, Renewable Energy'!D91," Instruments")</f>
        <v>Currency/Macro Risk Instruments</v>
      </c>
      <c r="I120" s="1062"/>
      <c r="J120" s="1062" t="s">
        <v>154</v>
      </c>
      <c r="K120" s="1064"/>
      <c r="L120" s="1565">
        <f>IF('III. Inputs, Renewable Energy'!S121="N",0,IF('III. Inputs, Renewable Energy'!Q170="Lump Sum", 'III. Inputs, Renewable Energy'!R170, 'III. Inputs, Renewable Energy'!U170))</f>
        <v>0</v>
      </c>
      <c r="M120" s="1566"/>
      <c r="N120" s="1567">
        <f>IF('III. Inputs, Renewable Energy'!V121="N",0,IF('III. Inputs, Renewable Energy'!Q170="Lump Sum", 'III. Inputs, Renewable Energy'!V170, 'III. Inputs, Renewable Energy'!Y170))</f>
        <v>0</v>
      </c>
      <c r="O120" s="1568"/>
      <c r="Q120" s="31"/>
      <c r="R120" s="31"/>
    </row>
    <row r="121" spans="2:19" ht="12.75" customHeight="1" x14ac:dyDescent="0.25">
      <c r="C121" s="11" t="s">
        <v>365</v>
      </c>
      <c r="I121" s="688"/>
      <c r="J121" s="1063" t="s">
        <v>154</v>
      </c>
      <c r="K121" s="705"/>
      <c r="L121" s="1563">
        <f>SUM(L114:M120)</f>
        <v>0</v>
      </c>
      <c r="M121" s="1564"/>
      <c r="N121" s="1581">
        <f>SUM(N114:O120)</f>
        <v>0</v>
      </c>
      <c r="O121" s="1582"/>
    </row>
    <row r="122" spans="2:19" ht="12.75" customHeight="1" x14ac:dyDescent="0.25">
      <c r="I122" s="685"/>
      <c r="J122" s="705"/>
      <c r="K122" s="705"/>
      <c r="L122" s="1561"/>
      <c r="M122" s="1562"/>
      <c r="N122" s="1567"/>
      <c r="O122" s="1568"/>
    </row>
    <row r="123" spans="2:19" ht="12.75" customHeight="1" x14ac:dyDescent="0.25">
      <c r="B123" s="11" t="s">
        <v>301</v>
      </c>
      <c r="I123" s="688"/>
      <c r="J123" s="705"/>
      <c r="K123" s="705"/>
      <c r="L123" s="1586"/>
      <c r="M123" s="1587"/>
      <c r="N123" s="1567"/>
      <c r="O123" s="1568"/>
    </row>
    <row r="124" spans="2:19" ht="12.75" customHeight="1" x14ac:dyDescent="0.25">
      <c r="C124" s="26" t="str">
        <f>CONCATENATE("Present Value of FIT/PPA Price Premium", " Over ", $L$30, " years")</f>
        <v>Present Value of FIT/PPA Price Premium Over MODEL VERSION 2.0 (OCTOBER 2016) years</v>
      </c>
      <c r="D124" s="26"/>
      <c r="E124" s="26"/>
      <c r="F124" s="26"/>
      <c r="G124" s="26"/>
      <c r="H124" s="26"/>
      <c r="I124" s="755"/>
      <c r="J124" s="1062" t="s">
        <v>154</v>
      </c>
      <c r="K124" s="705"/>
      <c r="L124" s="1575" t="e">
        <f>IF(L70&lt;0,0,PV($L$34,$L$30,(-L70*$L$28*1000)))</f>
        <v>#VALUE!</v>
      </c>
      <c r="M124" s="1576"/>
      <c r="N124" s="1590" t="e">
        <f>IF(N70&lt;0,0,PV($L$34,$L$30,(-N70*$L$28*1000)))</f>
        <v>#VALUE!</v>
      </c>
      <c r="O124" s="1591"/>
    </row>
    <row r="125" spans="2:19" ht="12.75" customHeight="1" x14ac:dyDescent="0.25">
      <c r="J125" s="28"/>
      <c r="K125" s="28"/>
      <c r="L125" s="1592"/>
      <c r="M125" s="1592"/>
      <c r="N125" s="40"/>
    </row>
    <row r="126" spans="2:19" ht="12.75" customHeight="1" x14ac:dyDescent="0.25">
      <c r="I126" s="11"/>
      <c r="J126" s="688"/>
      <c r="K126" s="688"/>
      <c r="L126" s="688"/>
      <c r="M126" s="688"/>
      <c r="N126" s="40"/>
    </row>
    <row r="127" spans="2:19" ht="12.75" customHeight="1" x14ac:dyDescent="0.25">
      <c r="B127" s="52" t="s">
        <v>302</v>
      </c>
      <c r="C127" s="21"/>
      <c r="D127" s="21"/>
      <c r="E127" s="21"/>
      <c r="F127" s="21"/>
      <c r="G127" s="21"/>
      <c r="H127" s="21"/>
      <c r="I127" s="21"/>
      <c r="J127" s="22"/>
      <c r="K127" s="22"/>
      <c r="L127" s="22"/>
      <c r="M127" s="21"/>
      <c r="N127" s="21"/>
      <c r="O127" s="21"/>
      <c r="P127" s="21"/>
      <c r="Q127" s="21"/>
      <c r="R127" s="21"/>
      <c r="S127" s="21"/>
    </row>
    <row r="128" spans="2:19" ht="12.75" customHeight="1" x14ac:dyDescent="0.25">
      <c r="I128" s="11"/>
      <c r="J128" s="688"/>
      <c r="K128" s="688"/>
      <c r="L128" s="688"/>
      <c r="M128" s="688"/>
      <c r="N128" s="40"/>
    </row>
    <row r="129" spans="1:16" ht="12.75" customHeight="1" x14ac:dyDescent="0.25">
      <c r="J129" s="28"/>
      <c r="K129" s="28"/>
      <c r="L129" s="1583" t="s">
        <v>464</v>
      </c>
      <c r="M129" s="1584"/>
      <c r="N129" s="1584"/>
      <c r="O129" s="1585"/>
    </row>
    <row r="130" spans="1:16" ht="12.75" customHeight="1" x14ac:dyDescent="0.25">
      <c r="C130" s="11"/>
      <c r="D130" s="11"/>
      <c r="E130" s="11"/>
      <c r="F130" s="11"/>
      <c r="G130" s="11"/>
      <c r="H130" s="11"/>
      <c r="J130" s="688"/>
      <c r="K130" s="688"/>
      <c r="L130" s="1501" t="s">
        <v>200</v>
      </c>
      <c r="M130" s="1502"/>
      <c r="N130" s="1503" t="s">
        <v>201</v>
      </c>
      <c r="O130" s="1504"/>
    </row>
    <row r="131" spans="1:16" ht="12.75" customHeight="1" x14ac:dyDescent="0.25">
      <c r="C131" s="11" t="s">
        <v>146</v>
      </c>
      <c r="D131" s="11"/>
      <c r="E131" s="11"/>
      <c r="F131" s="11"/>
      <c r="G131" s="11"/>
      <c r="H131" s="11"/>
      <c r="J131" s="688"/>
      <c r="K131" s="688"/>
      <c r="L131" s="1644"/>
      <c r="M131" s="1645"/>
      <c r="N131" s="1640"/>
      <c r="O131" s="1641"/>
    </row>
    <row r="132" spans="1:16" ht="12.75" customHeight="1" x14ac:dyDescent="0.25">
      <c r="C132" s="11"/>
      <c r="D132" s="11" t="s">
        <v>245</v>
      </c>
      <c r="E132" s="11"/>
      <c r="F132" s="11"/>
      <c r="G132" s="11"/>
      <c r="H132" s="11"/>
      <c r="J132" s="688"/>
      <c r="K132" s="688"/>
      <c r="L132" s="1642" t="e">
        <f>IF(SUM(L134:M136)=0, "NA", L133/SUM(L134:M136))</f>
        <v>#VALUE!</v>
      </c>
      <c r="M132" s="1643"/>
      <c r="N132" s="1618" t="e">
        <f>IF(SUM(N134:O136)=0, "NA", N133/SUM(N134:O136))</f>
        <v>#VALUE!</v>
      </c>
      <c r="O132" s="1619"/>
    </row>
    <row r="133" spans="1:16" ht="12.75" customHeight="1" x14ac:dyDescent="0.25">
      <c r="D133" s="8" t="s">
        <v>471</v>
      </c>
      <c r="J133" s="1062" t="s">
        <v>154</v>
      </c>
      <c r="K133" s="685"/>
      <c r="L133" s="1561">
        <f>L83</f>
        <v>0</v>
      </c>
      <c r="M133" s="1562"/>
      <c r="N133" s="1577">
        <f>N83</f>
        <v>0</v>
      </c>
      <c r="O133" s="1578"/>
    </row>
    <row r="134" spans="1:16" ht="12.75" customHeight="1" x14ac:dyDescent="0.25">
      <c r="D134" s="26" t="str">
        <f>CONCATENATE("Present Value of FIT/PPA Price Premium", " Over ", $L$30, " years")</f>
        <v>Present Value of FIT/PPA Price Premium Over MODEL VERSION 2.0 (OCTOBER 2016) years</v>
      </c>
      <c r="J134" s="1062" t="s">
        <v>154</v>
      </c>
      <c r="K134" s="685"/>
      <c r="L134" s="1561" t="e">
        <f>L124</f>
        <v>#VALUE!</v>
      </c>
      <c r="M134" s="1562"/>
      <c r="N134" s="1577" t="e">
        <f>N124</f>
        <v>#VALUE!</v>
      </c>
      <c r="O134" s="1578"/>
    </row>
    <row r="135" spans="1:16" ht="12.75" customHeight="1" x14ac:dyDescent="0.25">
      <c r="D135" s="8" t="s">
        <v>306</v>
      </c>
      <c r="J135" s="1062" t="s">
        <v>154</v>
      </c>
      <c r="K135" s="685"/>
      <c r="L135" s="1561">
        <f>L121</f>
        <v>0</v>
      </c>
      <c r="M135" s="1562"/>
      <c r="N135" s="1577">
        <f>N121</f>
        <v>0</v>
      </c>
      <c r="O135" s="1578"/>
    </row>
    <row r="136" spans="1:16" ht="12.75" customHeight="1" x14ac:dyDescent="0.25">
      <c r="D136" s="8" t="s">
        <v>305</v>
      </c>
      <c r="J136" s="1062" t="s">
        <v>154</v>
      </c>
      <c r="K136" s="685"/>
      <c r="L136" s="1561">
        <f>L110</f>
        <v>0</v>
      </c>
      <c r="M136" s="1562"/>
      <c r="N136" s="1577">
        <f>N110</f>
        <v>0</v>
      </c>
      <c r="O136" s="1578"/>
    </row>
    <row r="137" spans="1:16" ht="12.75" customHeight="1" x14ac:dyDescent="0.25">
      <c r="J137" s="685"/>
      <c r="K137" s="685"/>
      <c r="L137" s="1242"/>
      <c r="M137" s="1249"/>
      <c r="N137" s="691"/>
      <c r="O137" s="1261"/>
    </row>
    <row r="138" spans="1:16" ht="12.75" customHeight="1" x14ac:dyDescent="0.25">
      <c r="C138" s="11" t="s">
        <v>147</v>
      </c>
      <c r="J138" s="685"/>
      <c r="K138" s="685"/>
      <c r="L138" s="1242"/>
      <c r="M138" s="1249"/>
      <c r="N138" s="691"/>
      <c r="O138" s="1261"/>
    </row>
    <row r="139" spans="1:16" ht="12.75" customHeight="1" x14ac:dyDescent="0.25">
      <c r="D139" s="11" t="s">
        <v>245</v>
      </c>
      <c r="E139" s="11"/>
      <c r="F139" s="11"/>
      <c r="G139" s="11"/>
      <c r="H139" s="11"/>
      <c r="J139" s="688"/>
      <c r="K139" s="688"/>
      <c r="L139" s="1561"/>
      <c r="M139" s="1562"/>
      <c r="N139" s="1618" t="str">
        <f>IF(N140+N141=0, "NA", N143/(N140+N141))</f>
        <v>NA</v>
      </c>
      <c r="O139" s="1619"/>
    </row>
    <row r="140" spans="1:16" ht="12.75" customHeight="1" x14ac:dyDescent="0.25">
      <c r="D140" s="8" t="s">
        <v>306</v>
      </c>
      <c r="J140" s="1062" t="s">
        <v>154</v>
      </c>
      <c r="K140" s="685"/>
      <c r="L140" s="1561">
        <f>L121</f>
        <v>0</v>
      </c>
      <c r="M140" s="1562"/>
      <c r="N140" s="1577">
        <f>N121</f>
        <v>0</v>
      </c>
      <c r="O140" s="1578"/>
    </row>
    <row r="141" spans="1:16" ht="12.75" customHeight="1" x14ac:dyDescent="0.25">
      <c r="D141" s="8" t="s">
        <v>305</v>
      </c>
      <c r="J141" s="1062" t="s">
        <v>154</v>
      </c>
      <c r="K141" s="685"/>
      <c r="L141" s="1561">
        <f>L110</f>
        <v>0</v>
      </c>
      <c r="M141" s="1562"/>
      <c r="N141" s="1577">
        <f>N110</f>
        <v>0</v>
      </c>
      <c r="O141" s="1578"/>
    </row>
    <row r="142" spans="1:16" ht="12.75" customHeight="1" x14ac:dyDescent="0.25">
      <c r="D142" s="1634" t="str">
        <f>CONCATENATE("Present Value of Total Incremental Cost", " Over ", $L$30, " Years")</f>
        <v>Present Value of Total Incremental Cost Over MODEL VERSION 2.0 (OCTOBER 2016) Years</v>
      </c>
      <c r="E142" s="1634"/>
      <c r="F142" s="1634"/>
      <c r="G142" s="1634"/>
      <c r="H142" s="1634"/>
      <c r="I142" s="1634"/>
      <c r="J142" s="1062" t="s">
        <v>154</v>
      </c>
      <c r="K142" s="685"/>
      <c r="L142" s="1561" t="e">
        <f>L72</f>
        <v>#VALUE!</v>
      </c>
      <c r="M142" s="1562"/>
      <c r="N142" s="1577" t="e">
        <f>N72</f>
        <v>#VALUE!</v>
      </c>
      <c r="O142" s="1578"/>
      <c r="P142" s="29"/>
    </row>
    <row r="143" spans="1:16" ht="12.75" customHeight="1" x14ac:dyDescent="0.25">
      <c r="A143" s="756"/>
      <c r="D143" s="1634" t="str">
        <f>CONCATENATE("Present Value of Total Savings Due to Derisking", " Over ", $L$30, " Years")</f>
        <v>Present Value of Total Savings Due to Derisking Over MODEL VERSION 2.0 (OCTOBER 2016) Years</v>
      </c>
      <c r="E143" s="1634"/>
      <c r="F143" s="1634"/>
      <c r="G143" s="1634"/>
      <c r="H143" s="1634"/>
      <c r="I143" s="1634"/>
      <c r="J143" s="1062" t="s">
        <v>154</v>
      </c>
      <c r="K143" s="685"/>
      <c r="L143" s="1561"/>
      <c r="M143" s="1562"/>
      <c r="N143" s="1577" t="e">
        <f>-(N142-L142)</f>
        <v>#VALUE!</v>
      </c>
      <c r="O143" s="1578"/>
    </row>
    <row r="144" spans="1:16" ht="12.75" customHeight="1" x14ac:dyDescent="0.25">
      <c r="J144" s="685"/>
      <c r="K144" s="685"/>
      <c r="L144" s="690"/>
      <c r="M144" s="689"/>
      <c r="N144" s="691"/>
      <c r="O144" s="692"/>
    </row>
    <row r="145" spans="3:15" ht="12.75" customHeight="1" x14ac:dyDescent="0.25">
      <c r="C145" s="11" t="s">
        <v>186</v>
      </c>
      <c r="D145" s="11"/>
      <c r="E145" s="11"/>
      <c r="F145" s="11"/>
      <c r="G145" s="11"/>
      <c r="H145" s="11"/>
      <c r="J145" s="747"/>
      <c r="K145" s="747"/>
      <c r="L145" s="1595"/>
      <c r="M145" s="1596"/>
      <c r="N145" s="1624"/>
      <c r="O145" s="1625"/>
    </row>
    <row r="146" spans="3:15" ht="12.75" customHeight="1" x14ac:dyDescent="0.25">
      <c r="D146" s="8" t="s">
        <v>472</v>
      </c>
      <c r="J146" s="685" t="s">
        <v>614</v>
      </c>
      <c r="K146" s="685"/>
      <c r="L146" s="1597" t="e">
        <f>L63</f>
        <v>#VALUE!</v>
      </c>
      <c r="M146" s="1598"/>
      <c r="N146" s="1628" t="e">
        <f>N63</f>
        <v>#VALUE!</v>
      </c>
      <c r="O146" s="1629"/>
    </row>
    <row r="147" spans="3:15" ht="12.75" customHeight="1" x14ac:dyDescent="0.25">
      <c r="D147" s="8" t="s">
        <v>473</v>
      </c>
      <c r="J147" s="685" t="s">
        <v>16</v>
      </c>
      <c r="K147" s="685"/>
      <c r="L147" s="1262"/>
      <c r="M147" s="1263"/>
      <c r="N147" s="1620" t="e">
        <f>IF(L146=0,"NA",IF(OR(N146&lt;0,L146&lt;0),-((N146/L146)-1),(N146/L146)-1))</f>
        <v>#VALUE!</v>
      </c>
      <c r="O147" s="1621"/>
    </row>
    <row r="148" spans="3:15" ht="12.75" customHeight="1" x14ac:dyDescent="0.25">
      <c r="D148" s="8" t="s">
        <v>276</v>
      </c>
      <c r="J148" s="1062" t="s">
        <v>614</v>
      </c>
      <c r="K148" s="685"/>
      <c r="L148" s="1593">
        <f>L68</f>
        <v>0</v>
      </c>
      <c r="M148" s="1594"/>
      <c r="N148" s="1630">
        <f>N68</f>
        <v>0</v>
      </c>
      <c r="O148" s="1631"/>
    </row>
    <row r="149" spans="3:15" ht="12.75" customHeight="1" x14ac:dyDescent="0.25">
      <c r="D149" s="8" t="s">
        <v>307</v>
      </c>
      <c r="J149" s="1062" t="s">
        <v>614</v>
      </c>
      <c r="K149" s="685"/>
      <c r="L149" s="1593" t="e">
        <f>L70</f>
        <v>#VALUE!</v>
      </c>
      <c r="M149" s="1594"/>
      <c r="N149" s="1630" t="e">
        <f>N70</f>
        <v>#VALUE!</v>
      </c>
      <c r="O149" s="1631"/>
    </row>
    <row r="150" spans="3:15" ht="12.75" customHeight="1" x14ac:dyDescent="0.25">
      <c r="J150" s="685"/>
      <c r="K150" s="685"/>
      <c r="L150" s="697"/>
      <c r="M150" s="752"/>
      <c r="N150" s="693"/>
      <c r="O150" s="694"/>
    </row>
    <row r="151" spans="3:15" ht="12.75" customHeight="1" x14ac:dyDescent="0.25">
      <c r="C151" s="11" t="s">
        <v>148</v>
      </c>
      <c r="D151" s="11"/>
      <c r="E151" s="11"/>
      <c r="F151" s="11"/>
      <c r="G151" s="11"/>
      <c r="H151" s="11"/>
      <c r="J151" s="747"/>
      <c r="K151" s="747"/>
      <c r="L151" s="1595"/>
      <c r="M151" s="1596"/>
      <c r="N151" s="1624"/>
      <c r="O151" s="1625"/>
    </row>
    <row r="152" spans="3:15" ht="12.75" customHeight="1" x14ac:dyDescent="0.25">
      <c r="E152" s="1411" t="s">
        <v>629</v>
      </c>
      <c r="J152" s="1406" t="s">
        <v>617</v>
      </c>
      <c r="K152" s="1406"/>
      <c r="L152" s="1601" t="e">
        <f>IF($N$157=0,0,L142/($N$157*1000000))</f>
        <v>#VALUE!</v>
      </c>
      <c r="M152" s="1602"/>
      <c r="N152" s="1626" t="e">
        <f>IF($N$157=0,0,N142/($N$157*1000000))</f>
        <v>#VALUE!</v>
      </c>
      <c r="O152" s="1627"/>
    </row>
    <row r="153" spans="3:15" ht="12.75" customHeight="1" x14ac:dyDescent="0.25">
      <c r="E153" s="1411" t="s">
        <v>630</v>
      </c>
      <c r="J153" s="1406" t="s">
        <v>617</v>
      </c>
      <c r="K153" s="1406"/>
      <c r="L153" s="1601" t="e">
        <f>IF($N$157=0,0,L140/($N$157*1000000))</f>
        <v>#VALUE!</v>
      </c>
      <c r="M153" s="1602"/>
      <c r="N153" s="1626" t="e">
        <f>IF($N$157=0,0,N140/($N$157*1000000))</f>
        <v>#VALUE!</v>
      </c>
      <c r="O153" s="1627"/>
    </row>
    <row r="154" spans="3:15" ht="12.75" customHeight="1" x14ac:dyDescent="0.25">
      <c r="E154" s="1411" t="s">
        <v>631</v>
      </c>
      <c r="J154" s="1406" t="s">
        <v>617</v>
      </c>
      <c r="K154" s="1406"/>
      <c r="L154" s="1601" t="e">
        <f>IF($N$157=0,0,L141/($N$157*1000000))</f>
        <v>#VALUE!</v>
      </c>
      <c r="M154" s="1602"/>
      <c r="N154" s="1626" t="e">
        <f>IF($N$157=0,0,N141/($N$157*1000000))</f>
        <v>#VALUE!</v>
      </c>
      <c r="O154" s="1627"/>
    </row>
    <row r="155" spans="3:15" s="11" customFormat="1" ht="12.75" customHeight="1" x14ac:dyDescent="0.25">
      <c r="D155" s="11" t="s">
        <v>632</v>
      </c>
      <c r="J155" s="1410" t="s">
        <v>617</v>
      </c>
      <c r="K155" s="1410"/>
      <c r="L155" s="1603" t="e">
        <f>SUM(L152:M154)</f>
        <v>#VALUE!</v>
      </c>
      <c r="M155" s="1604"/>
      <c r="N155" s="1632" t="e">
        <f>SUM(N152:O154)</f>
        <v>#VALUE!</v>
      </c>
      <c r="O155" s="1633"/>
    </row>
    <row r="156" spans="3:15" ht="12.75" customHeight="1" x14ac:dyDescent="0.25">
      <c r="D156" s="8" t="s">
        <v>628</v>
      </c>
      <c r="J156" s="1406" t="s">
        <v>16</v>
      </c>
      <c r="K156" s="1406"/>
      <c r="L156" s="1407"/>
      <c r="M156" s="1408"/>
      <c r="N156" s="1622" t="e">
        <f>IF(OR(L155=0,L155="NA"),"NA",IF(OR(L155&lt;0,AND(N155&gt;0,L155&lt;0)),-((N155/L155)-1),(N155/L155)-1))</f>
        <v>#VALUE!</v>
      </c>
      <c r="O156" s="1623"/>
    </row>
    <row r="157" spans="3:15" ht="12.75" customHeight="1" x14ac:dyDescent="0.25">
      <c r="D157" s="1634" t="str">
        <f>CONCATENATE("Emission Reductions", " Over ", $L$30, " Years")</f>
        <v>Emission Reductions Over MODEL VERSION 2.0 (OCTOBER 2016) Years</v>
      </c>
      <c r="E157" s="1634"/>
      <c r="F157" s="1634"/>
      <c r="G157" s="1634"/>
      <c r="H157" s="1634"/>
      <c r="I157" s="1634"/>
      <c r="J157" s="761" t="s">
        <v>366</v>
      </c>
      <c r="K157" s="685"/>
      <c r="L157" s="1599" t="e">
        <f>$L$28*'II. Inputs, Baseline Energy Mix'!T20*$L$30/1000000</f>
        <v>#VALUE!</v>
      </c>
      <c r="M157" s="1600"/>
      <c r="N157" s="1616" t="e">
        <f>$L$28*'II. Inputs, Baseline Energy Mix'!T20*$L$30/1000000</f>
        <v>#VALUE!</v>
      </c>
      <c r="O157" s="1617"/>
    </row>
    <row r="158" spans="3:15" x14ac:dyDescent="0.25">
      <c r="J158" s="28"/>
      <c r="K158" s="28"/>
      <c r="L158" s="1592"/>
      <c r="M158" s="1592"/>
    </row>
    <row r="159" spans="3:15" x14ac:dyDescent="0.25"/>
    <row r="160" spans="3:15" x14ac:dyDescent="0.25"/>
    <row r="161" spans="14:14" hidden="1" x14ac:dyDescent="0.25">
      <c r="N161" s="41"/>
    </row>
    <row r="162" spans="14:14" x14ac:dyDescent="0.25"/>
    <row r="163" spans="14:14" x14ac:dyDescent="0.25"/>
    <row r="164" spans="14:14" x14ac:dyDescent="0.25"/>
    <row r="165" spans="14:14" x14ac:dyDescent="0.25"/>
    <row r="166" spans="14:14" x14ac:dyDescent="0.25"/>
    <row r="167" spans="14:14" x14ac:dyDescent="0.25"/>
    <row r="168" spans="14:14" x14ac:dyDescent="0.25"/>
    <row r="169" spans="14:14" x14ac:dyDescent="0.25"/>
  </sheetData>
  <sheetProtection formatCells="0" formatColumns="0" formatRows="0" insertColumns="0" insertRows="0"/>
  <mergeCells count="199">
    <mergeCell ref="N67:O67"/>
    <mergeCell ref="L111:M111"/>
    <mergeCell ref="L112:M112"/>
    <mergeCell ref="L110:M110"/>
    <mergeCell ref="N110:O110"/>
    <mergeCell ref="N109:O109"/>
    <mergeCell ref="N108:O108"/>
    <mergeCell ref="N107:O107"/>
    <mergeCell ref="L104:M104"/>
    <mergeCell ref="L105:M105"/>
    <mergeCell ref="L107:M107"/>
    <mergeCell ref="L84:M84"/>
    <mergeCell ref="L85:M85"/>
    <mergeCell ref="N84:O84"/>
    <mergeCell ref="N85:O85"/>
    <mergeCell ref="L108:M108"/>
    <mergeCell ref="L109:M109"/>
    <mergeCell ref="L106:M106"/>
    <mergeCell ref="N106:O106"/>
    <mergeCell ref="N105:O105"/>
    <mergeCell ref="N104:O104"/>
    <mergeCell ref="L94:M94"/>
    <mergeCell ref="L100:M100"/>
    <mergeCell ref="L103:M103"/>
    <mergeCell ref="D72:I72"/>
    <mergeCell ref="D76:I76"/>
    <mergeCell ref="D142:I142"/>
    <mergeCell ref="D143:I143"/>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111:O111"/>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53:O153"/>
    <mergeCell ref="L154:M154"/>
    <mergeCell ref="N154:O154"/>
    <mergeCell ref="N155:O155"/>
    <mergeCell ref="N44:O44"/>
    <mergeCell ref="L43:M43"/>
    <mergeCell ref="N43:O43"/>
    <mergeCell ref="L44:M44"/>
    <mergeCell ref="L125:M125"/>
    <mergeCell ref="L123:M123"/>
    <mergeCell ref="L122:M122"/>
    <mergeCell ref="N135:O135"/>
    <mergeCell ref="N136:O136"/>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94:O94"/>
    <mergeCell ref="N118:O118"/>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L155:M155"/>
    <mergeCell ref="N119:O119"/>
    <mergeCell ref="N121:O121"/>
    <mergeCell ref="L118:M118"/>
    <mergeCell ref="L119:M119"/>
    <mergeCell ref="L121:M121"/>
    <mergeCell ref="L124:M124"/>
    <mergeCell ref="N117:O117"/>
    <mergeCell ref="N124:O124"/>
    <mergeCell ref="N123:O123"/>
    <mergeCell ref="N122:O122"/>
    <mergeCell ref="L117:M117"/>
    <mergeCell ref="L120:M120"/>
    <mergeCell ref="N120:O120"/>
    <mergeCell ref="L99:O99"/>
    <mergeCell ref="L89:M89"/>
    <mergeCell ref="L91:M91"/>
    <mergeCell ref="L92:M92"/>
    <mergeCell ref="L93:M93"/>
    <mergeCell ref="N100:O100"/>
    <mergeCell ref="N103:O103"/>
    <mergeCell ref="N89:O89"/>
    <mergeCell ref="N91:O91"/>
    <mergeCell ref="N92:O92"/>
    <mergeCell ref="N93:O93"/>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s>
  <pageMargins left="0.7" right="0.7" top="0.75" bottom="0.75" header="0.3" footer="0.3"/>
  <pageSetup scale="54" fitToHeight="0" orientation="landscape" horizontalDpi="4294967293" verticalDpi="4294967293"/>
  <headerFooter>
    <oddFooter>&amp;L&amp;A&amp;R&amp;P of &amp;N</oddFooter>
  </headerFooter>
  <rowBreaks count="1" manualBreakCount="1">
    <brk id="77" max="16383" man="1"/>
  </rowBreaks>
  <cellWatches>
    <cellWatch r="N70"/>
  </cellWatch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showGridLines="0" zoomScale="85" zoomScaleNormal="85" zoomScalePageLayoutView="85" workbookViewId="0"/>
  </sheetViews>
  <sheetFormatPr defaultColWidth="0" defaultRowHeight="13.2" zeroHeight="1" outlineLevelCol="1" x14ac:dyDescent="0.25"/>
  <cols>
    <col min="1" max="10" width="2.6640625" style="57" customWidth="1"/>
    <col min="11" max="11" width="45.6640625" style="57" customWidth="1"/>
    <col min="12" max="12" width="12" style="57" customWidth="1"/>
    <col min="13" max="13" width="4.6640625" style="57" customWidth="1"/>
    <col min="14" max="20" width="13.6640625" style="57" customWidth="1"/>
    <col min="21" max="21" width="12.44140625" style="57" customWidth="1"/>
    <col min="22" max="22" width="9.6640625" style="57" customWidth="1"/>
    <col min="23" max="28" width="10.6640625" style="57" customWidth="1" outlineLevel="1"/>
    <col min="29" max="29" width="3.33203125" style="57" customWidth="1"/>
    <col min="30" max="16384" width="9.109375" style="57" hidden="1"/>
  </cols>
  <sheetData>
    <row r="1" spans="1:25" x14ac:dyDescent="0.25">
      <c r="A1" s="1465" t="s">
        <v>639</v>
      </c>
    </row>
    <row r="2" spans="1:25" x14ac:dyDescent="0.25"/>
    <row r="3" spans="1:25" x14ac:dyDescent="0.25">
      <c r="A3" s="780" t="s">
        <v>308</v>
      </c>
      <c r="B3" s="780"/>
      <c r="C3" s="780"/>
      <c r="D3" s="780"/>
      <c r="E3" s="780"/>
      <c r="F3" s="780"/>
      <c r="G3" s="780"/>
      <c r="H3" s="780"/>
      <c r="I3" s="780"/>
      <c r="J3" s="780"/>
      <c r="K3" s="781"/>
      <c r="L3" s="781"/>
      <c r="M3" s="781"/>
      <c r="N3" s="791"/>
      <c r="O3" s="791"/>
      <c r="P3" s="791"/>
      <c r="Q3" s="791"/>
      <c r="R3" s="791"/>
      <c r="S3" s="791"/>
      <c r="T3" s="791"/>
      <c r="U3" s="791"/>
      <c r="V3" s="791"/>
    </row>
    <row r="4" spans="1:25" s="146" customFormat="1" ht="12.75" customHeight="1" x14ac:dyDescent="0.25">
      <c r="P4" s="784"/>
      <c r="Q4" s="784"/>
      <c r="R4" s="784"/>
      <c r="W4" s="764"/>
      <c r="X4" s="764"/>
      <c r="Y4" s="764"/>
    </row>
    <row r="5" spans="1:25" s="146" customFormat="1" ht="12.75" customHeight="1" x14ac:dyDescent="0.25">
      <c r="B5" s="146" t="s">
        <v>213</v>
      </c>
      <c r="V5" s="792" t="s">
        <v>195</v>
      </c>
      <c r="W5" s="764"/>
      <c r="X5" s="764"/>
      <c r="Y5" s="764"/>
    </row>
    <row r="6" spans="1:25" s="146" customFormat="1" ht="12.75" customHeight="1" x14ac:dyDescent="0.25">
      <c r="C6" s="146" t="s">
        <v>313</v>
      </c>
      <c r="V6" s="793" t="s">
        <v>196</v>
      </c>
      <c r="W6" s="764"/>
      <c r="X6" s="764"/>
      <c r="Y6" s="764"/>
    </row>
    <row r="7" spans="1:25" s="146" customFormat="1" ht="12.75" customHeight="1" x14ac:dyDescent="0.25">
      <c r="C7" s="146" t="s">
        <v>202</v>
      </c>
      <c r="V7" s="792" t="str">
        <f>"----&gt;"</f>
        <v>----&gt;</v>
      </c>
      <c r="W7" s="764"/>
      <c r="X7" s="764"/>
      <c r="Y7" s="764"/>
    </row>
    <row r="8" spans="1:25" s="146" customFormat="1" x14ac:dyDescent="0.25">
      <c r="C8" s="146" t="s">
        <v>203</v>
      </c>
      <c r="P8" s="784"/>
      <c r="Q8" s="784"/>
      <c r="R8" s="784"/>
    </row>
    <row r="9" spans="1:25" s="146" customFormat="1" ht="12.75" customHeight="1" x14ac:dyDescent="0.25">
      <c r="C9" s="146" t="s">
        <v>204</v>
      </c>
      <c r="P9" s="784"/>
      <c r="Q9" s="784"/>
      <c r="R9" s="784"/>
    </row>
    <row r="10" spans="1:25" s="146" customFormat="1" ht="12.75" customHeight="1" x14ac:dyDescent="0.25">
      <c r="P10" s="784"/>
      <c r="Q10" s="784"/>
      <c r="R10" s="784"/>
    </row>
    <row r="11" spans="1:25" s="146" customFormat="1" ht="12.75" customHeight="1" x14ac:dyDescent="0.25">
      <c r="A11" s="782" t="s">
        <v>309</v>
      </c>
      <c r="B11" s="782"/>
      <c r="C11" s="782"/>
      <c r="D11" s="782"/>
      <c r="E11" s="782"/>
      <c r="F11" s="782"/>
      <c r="G11" s="782"/>
      <c r="H11" s="782"/>
      <c r="I11" s="782"/>
      <c r="J11" s="782"/>
      <c r="K11" s="783"/>
      <c r="L11" s="783"/>
      <c r="M11" s="783"/>
      <c r="N11" s="783"/>
      <c r="O11" s="783"/>
      <c r="P11" s="783"/>
      <c r="Q11" s="783"/>
      <c r="R11" s="783"/>
      <c r="S11" s="783"/>
      <c r="T11" s="783"/>
      <c r="U11" s="783"/>
      <c r="V11" s="783"/>
    </row>
    <row r="12" spans="1:25" x14ac:dyDescent="0.25"/>
    <row r="13" spans="1:25" x14ac:dyDescent="0.25">
      <c r="N13" s="1648" t="s">
        <v>56</v>
      </c>
      <c r="O13" s="1649"/>
      <c r="P13" s="1649"/>
      <c r="Q13" s="1649"/>
      <c r="R13" s="1649"/>
      <c r="S13" s="1649"/>
      <c r="T13" s="1650"/>
      <c r="U13" s="794"/>
    </row>
    <row r="14" spans="1:25" s="59" customFormat="1" ht="13.5" customHeight="1" x14ac:dyDescent="0.25">
      <c r="C14" s="83"/>
      <c r="D14" s="83"/>
      <c r="E14" s="83"/>
      <c r="F14" s="181"/>
      <c r="G14" s="181"/>
      <c r="H14" s="181"/>
      <c r="I14" s="181"/>
      <c r="J14" s="181"/>
      <c r="K14" s="181"/>
      <c r="L14" s="84"/>
      <c r="M14" s="84"/>
      <c r="N14" s="61" t="s">
        <v>39</v>
      </c>
      <c r="O14" s="62" t="s">
        <v>95</v>
      </c>
      <c r="P14" s="63" t="s">
        <v>31</v>
      </c>
      <c r="Q14" s="64" t="s">
        <v>637</v>
      </c>
      <c r="R14" s="65" t="s">
        <v>40</v>
      </c>
      <c r="S14" s="66" t="s">
        <v>32</v>
      </c>
      <c r="T14" s="795" t="s">
        <v>168</v>
      </c>
      <c r="U14" s="796" t="s">
        <v>167</v>
      </c>
      <c r="V14" s="797"/>
      <c r="W14" s="211"/>
    </row>
    <row r="15" spans="1:25" s="59" customFormat="1" x14ac:dyDescent="0.25">
      <c r="C15" s="59" t="s">
        <v>33</v>
      </c>
      <c r="L15" s="67" t="s">
        <v>16</v>
      </c>
      <c r="N15" s="1473">
        <v>0</v>
      </c>
      <c r="O15" s="1473">
        <v>0</v>
      </c>
      <c r="P15" s="1473">
        <v>0</v>
      </c>
      <c r="Q15" s="1473">
        <v>0</v>
      </c>
      <c r="R15" s="1473">
        <v>0</v>
      </c>
      <c r="S15" s="1473">
        <v>0</v>
      </c>
      <c r="T15" s="826">
        <f>SUM(N15:S15)</f>
        <v>0</v>
      </c>
      <c r="U15" s="824" t="str">
        <f>IF(OR(SUM(N15:S15)=0, SUM(N15:S15)=1), "", "Must = 100%")</f>
        <v/>
      </c>
      <c r="V15" s="797" t="s">
        <v>255</v>
      </c>
      <c r="W15" s="211" t="s">
        <v>247</v>
      </c>
    </row>
    <row r="16" spans="1:25" x14ac:dyDescent="0.25">
      <c r="C16" s="57" t="s">
        <v>37</v>
      </c>
      <c r="L16" s="68" t="s">
        <v>15</v>
      </c>
      <c r="N16" s="766">
        <v>1</v>
      </c>
      <c r="O16" s="767">
        <v>1</v>
      </c>
      <c r="P16" s="768">
        <v>1</v>
      </c>
      <c r="Q16" s="769">
        <v>1</v>
      </c>
      <c r="R16" s="770">
        <v>1</v>
      </c>
      <c r="S16" s="771">
        <v>1</v>
      </c>
      <c r="T16" s="798"/>
      <c r="U16" s="794"/>
      <c r="V16" s="799" t="s">
        <v>255</v>
      </c>
      <c r="W16" s="57" t="s">
        <v>268</v>
      </c>
    </row>
    <row r="17" spans="1:32" x14ac:dyDescent="0.25">
      <c r="C17" s="57" t="s">
        <v>14</v>
      </c>
      <c r="L17" s="68" t="s">
        <v>615</v>
      </c>
      <c r="N17" s="1466">
        <v>910000</v>
      </c>
      <c r="O17" s="1467">
        <v>1755000</v>
      </c>
      <c r="P17" s="1468">
        <v>1950000</v>
      </c>
      <c r="Q17" s="1469">
        <v>910000</v>
      </c>
      <c r="R17" s="1470">
        <v>975000</v>
      </c>
      <c r="S17" s="1471">
        <v>2080000</v>
      </c>
      <c r="T17" s="798"/>
      <c r="U17" s="794"/>
      <c r="W17" s="57" t="s">
        <v>385</v>
      </c>
    </row>
    <row r="18" spans="1:32" x14ac:dyDescent="0.25">
      <c r="C18" s="146" t="s">
        <v>198</v>
      </c>
      <c r="L18" s="68" t="s">
        <v>20</v>
      </c>
      <c r="N18" s="664">
        <v>25</v>
      </c>
      <c r="O18" s="665">
        <v>40</v>
      </c>
      <c r="P18" s="666">
        <v>50</v>
      </c>
      <c r="Q18" s="667">
        <v>25</v>
      </c>
      <c r="R18" s="668">
        <v>30</v>
      </c>
      <c r="S18" s="669">
        <v>30</v>
      </c>
      <c r="T18" s="798"/>
      <c r="U18" s="794"/>
    </row>
    <row r="19" spans="1:32" x14ac:dyDescent="0.25">
      <c r="C19" s="57" t="s">
        <v>17</v>
      </c>
      <c r="L19" s="68" t="s">
        <v>16</v>
      </c>
      <c r="N19" s="670">
        <v>0.25</v>
      </c>
      <c r="O19" s="671">
        <v>0.25</v>
      </c>
      <c r="P19" s="672">
        <v>0.25</v>
      </c>
      <c r="Q19" s="673">
        <v>0.25</v>
      </c>
      <c r="R19" s="674">
        <v>0.25</v>
      </c>
      <c r="S19" s="675">
        <v>0.25</v>
      </c>
      <c r="T19" s="798"/>
      <c r="U19" s="794"/>
    </row>
    <row r="20" spans="1:32" s="146" customFormat="1" ht="12.75" customHeight="1" x14ac:dyDescent="0.25">
      <c r="A20" s="91"/>
      <c r="C20" s="146" t="s">
        <v>170</v>
      </c>
      <c r="L20" s="784" t="s">
        <v>169</v>
      </c>
      <c r="N20" s="774"/>
      <c r="O20" s="775"/>
      <c r="P20" s="776"/>
      <c r="Q20" s="1475"/>
      <c r="R20" s="777"/>
      <c r="S20" s="778"/>
      <c r="T20" s="1474"/>
      <c r="U20" s="1476"/>
      <c r="V20" s="794"/>
      <c r="AD20" s="825"/>
      <c r="AE20" s="825"/>
      <c r="AF20" s="825"/>
    </row>
    <row r="21" spans="1:32" x14ac:dyDescent="0.25"/>
    <row r="22" spans="1:32" s="146" customFormat="1" ht="12.75" customHeight="1" x14ac:dyDescent="0.25">
      <c r="A22" s="782" t="s">
        <v>205</v>
      </c>
      <c r="B22" s="782"/>
      <c r="C22" s="782"/>
      <c r="D22" s="782"/>
      <c r="E22" s="782"/>
      <c r="F22" s="782"/>
      <c r="G22" s="782"/>
      <c r="H22" s="782"/>
      <c r="I22" s="782"/>
      <c r="J22" s="785"/>
      <c r="K22" s="783"/>
      <c r="L22" s="783"/>
      <c r="M22" s="783"/>
      <c r="N22" s="783"/>
      <c r="O22" s="783"/>
      <c r="P22" s="783"/>
      <c r="Q22" s="783"/>
      <c r="R22" s="783"/>
      <c r="S22" s="783"/>
      <c r="T22" s="783"/>
      <c r="U22" s="783"/>
      <c r="V22" s="783"/>
    </row>
    <row r="23" spans="1:32" s="146" customFormat="1" ht="12.75" customHeight="1" x14ac:dyDescent="0.25">
      <c r="A23" s="786"/>
      <c r="B23" s="786"/>
      <c r="C23" s="786"/>
      <c r="D23" s="786"/>
      <c r="E23" s="786"/>
      <c r="F23" s="786"/>
      <c r="G23" s="786"/>
      <c r="H23" s="786"/>
      <c r="I23" s="786"/>
      <c r="J23" s="786"/>
      <c r="K23" s="787"/>
      <c r="L23" s="787"/>
      <c r="M23" s="787"/>
      <c r="N23" s="787"/>
      <c r="O23" s="787"/>
      <c r="P23" s="787"/>
      <c r="Q23" s="787"/>
      <c r="R23" s="787"/>
      <c r="S23" s="787"/>
      <c r="T23" s="787"/>
      <c r="U23" s="787"/>
    </row>
    <row r="24" spans="1:32" s="146" customFormat="1" ht="12.75" customHeight="1" x14ac:dyDescent="0.25">
      <c r="A24" s="786"/>
      <c r="B24" s="55" t="s">
        <v>206</v>
      </c>
      <c r="C24" s="81"/>
      <c r="D24" s="81"/>
      <c r="E24" s="81"/>
      <c r="F24" s="81"/>
      <c r="G24" s="81"/>
      <c r="H24" s="81"/>
      <c r="I24" s="81"/>
      <c r="J24" s="81"/>
      <c r="K24" s="55"/>
      <c r="L24" s="788"/>
      <c r="M24" s="788"/>
      <c r="N24" s="788"/>
      <c r="O24" s="788"/>
      <c r="P24" s="788"/>
      <c r="Q24" s="788"/>
      <c r="R24" s="788"/>
      <c r="S24" s="788"/>
      <c r="T24" s="788"/>
      <c r="U24" s="788"/>
      <c r="V24" s="788"/>
    </row>
    <row r="25" spans="1:32" s="146" customFormat="1" ht="12.75" customHeight="1" x14ac:dyDescent="0.25">
      <c r="A25" s="786"/>
      <c r="B25" s="83"/>
      <c r="C25" s="182"/>
      <c r="D25" s="182"/>
      <c r="E25" s="182"/>
      <c r="F25" s="182"/>
      <c r="G25" s="182"/>
      <c r="H25" s="182"/>
      <c r="I25" s="182"/>
      <c r="J25" s="182"/>
      <c r="K25" s="83"/>
      <c r="L25" s="787"/>
      <c r="M25" s="787"/>
      <c r="N25" s="787"/>
      <c r="O25" s="787"/>
      <c r="P25" s="787"/>
      <c r="Q25" s="787"/>
      <c r="R25" s="787"/>
      <c r="S25" s="787"/>
      <c r="T25" s="787"/>
      <c r="U25" s="787"/>
    </row>
    <row r="26" spans="1:32" x14ac:dyDescent="0.25">
      <c r="J26" s="57" t="s">
        <v>52</v>
      </c>
      <c r="N26" s="1648" t="s">
        <v>56</v>
      </c>
      <c r="O26" s="1649"/>
      <c r="P26" s="1649"/>
      <c r="Q26" s="1649"/>
      <c r="R26" s="1649"/>
      <c r="S26" s="1650"/>
      <c r="T26" s="146"/>
      <c r="U26" s="146"/>
    </row>
    <row r="27" spans="1:32" x14ac:dyDescent="0.25">
      <c r="L27" s="84"/>
      <c r="M27" s="180"/>
      <c r="N27" s="61" t="str">
        <f>$N$14</f>
        <v>Natural Gas</v>
      </c>
      <c r="O27" s="62" t="str">
        <f>$O$14</f>
        <v>Coal</v>
      </c>
      <c r="P27" s="63" t="str">
        <f>$P$14</f>
        <v>Hydro</v>
      </c>
      <c r="Q27" s="64" t="str">
        <f>$Q$14</f>
        <v>Diesel Fuel</v>
      </c>
      <c r="R27" s="82" t="str">
        <f>$R$14</f>
        <v>Heavy Fuel Oil</v>
      </c>
      <c r="S27" s="66" t="str">
        <f>$S$14</f>
        <v>Geothermal</v>
      </c>
      <c r="T27" s="146"/>
      <c r="U27" s="146"/>
    </row>
    <row r="28" spans="1:32" x14ac:dyDescent="0.25">
      <c r="C28" s="56" t="s">
        <v>26</v>
      </c>
      <c r="K28" s="56"/>
      <c r="N28" s="800"/>
      <c r="O28" s="801"/>
      <c r="P28" s="802"/>
      <c r="Q28" s="803"/>
      <c r="R28" s="804"/>
      <c r="S28" s="805"/>
      <c r="T28" s="146"/>
      <c r="U28" s="146"/>
    </row>
    <row r="29" spans="1:32" x14ac:dyDescent="0.25">
      <c r="D29" s="57" t="s">
        <v>28</v>
      </c>
      <c r="L29" s="68" t="s">
        <v>16</v>
      </c>
      <c r="N29" s="95">
        <v>0.3</v>
      </c>
      <c r="O29" s="96">
        <v>0.3</v>
      </c>
      <c r="P29" s="97">
        <v>0.3</v>
      </c>
      <c r="Q29" s="98">
        <v>0.3</v>
      </c>
      <c r="R29" s="99">
        <v>0.3</v>
      </c>
      <c r="S29" s="100">
        <v>0.3</v>
      </c>
      <c r="T29" s="146"/>
      <c r="U29" s="146"/>
    </row>
    <row r="30" spans="1:32" x14ac:dyDescent="0.25">
      <c r="D30" s="57" t="s">
        <v>27</v>
      </c>
      <c r="L30" s="68" t="s">
        <v>16</v>
      </c>
      <c r="N30" s="95">
        <v>0.7</v>
      </c>
      <c r="O30" s="96">
        <v>0.7</v>
      </c>
      <c r="P30" s="97">
        <v>0.7</v>
      </c>
      <c r="Q30" s="98">
        <v>0.7</v>
      </c>
      <c r="R30" s="99">
        <v>0.7</v>
      </c>
      <c r="S30" s="100">
        <v>0.7</v>
      </c>
      <c r="T30" s="146"/>
      <c r="U30" s="146"/>
    </row>
    <row r="31" spans="1:32" x14ac:dyDescent="0.25">
      <c r="E31" s="57" t="s">
        <v>396</v>
      </c>
      <c r="L31" s="68"/>
      <c r="N31" s="806"/>
      <c r="O31" s="807"/>
      <c r="P31" s="808"/>
      <c r="Q31" s="809"/>
      <c r="R31" s="810"/>
      <c r="S31" s="811"/>
      <c r="T31" s="146"/>
      <c r="U31" s="146"/>
    </row>
    <row r="32" spans="1:32" x14ac:dyDescent="0.25">
      <c r="F32" s="789" t="s">
        <v>311</v>
      </c>
      <c r="L32" s="68"/>
      <c r="N32" s="812">
        <f t="shared" ref="N32:S32" si="0">N61</f>
        <v>0</v>
      </c>
      <c r="O32" s="813">
        <f t="shared" si="0"/>
        <v>0</v>
      </c>
      <c r="P32" s="814">
        <f t="shared" si="0"/>
        <v>0</v>
      </c>
      <c r="Q32" s="815">
        <f t="shared" si="0"/>
        <v>0</v>
      </c>
      <c r="R32" s="816">
        <f t="shared" si="0"/>
        <v>0</v>
      </c>
      <c r="S32" s="817">
        <f t="shared" si="0"/>
        <v>0</v>
      </c>
      <c r="T32" s="146"/>
      <c r="U32" s="146"/>
    </row>
    <row r="33" spans="3:23" x14ac:dyDescent="0.25">
      <c r="F33" s="789" t="s">
        <v>298</v>
      </c>
      <c r="L33" s="68"/>
      <c r="N33" s="812">
        <f t="shared" ref="N33:S33" si="1">N63</f>
        <v>0</v>
      </c>
      <c r="O33" s="813">
        <f t="shared" si="1"/>
        <v>0</v>
      </c>
      <c r="P33" s="814">
        <f t="shared" si="1"/>
        <v>0</v>
      </c>
      <c r="Q33" s="815">
        <f t="shared" si="1"/>
        <v>0</v>
      </c>
      <c r="R33" s="816">
        <f t="shared" si="1"/>
        <v>0</v>
      </c>
      <c r="S33" s="817">
        <f t="shared" si="1"/>
        <v>0</v>
      </c>
      <c r="T33" s="146"/>
      <c r="U33" s="146"/>
    </row>
    <row r="34" spans="3:23" x14ac:dyDescent="0.25">
      <c r="F34" s="181" t="s">
        <v>299</v>
      </c>
      <c r="L34" s="68"/>
      <c r="N34" s="812">
        <f t="shared" ref="N34:S34" si="2">IF(N30=0, 0, (1-SUM(N32:N33)))</f>
        <v>1</v>
      </c>
      <c r="O34" s="813">
        <f t="shared" si="2"/>
        <v>1</v>
      </c>
      <c r="P34" s="814">
        <f t="shared" si="2"/>
        <v>1</v>
      </c>
      <c r="Q34" s="815">
        <f t="shared" si="2"/>
        <v>1</v>
      </c>
      <c r="R34" s="816">
        <f t="shared" si="2"/>
        <v>1</v>
      </c>
      <c r="S34" s="817">
        <f t="shared" si="2"/>
        <v>1</v>
      </c>
      <c r="T34" s="146"/>
      <c r="U34" s="146"/>
    </row>
    <row r="35" spans="3:23" s="91" customFormat="1" x14ac:dyDescent="0.25">
      <c r="J35" s="92"/>
      <c r="K35" s="93"/>
      <c r="L35" s="93"/>
      <c r="M35" s="93"/>
      <c r="N35" s="818"/>
      <c r="O35" s="819"/>
      <c r="P35" s="820"/>
      <c r="Q35" s="821"/>
      <c r="R35" s="822"/>
      <c r="S35" s="823"/>
      <c r="T35" s="146"/>
      <c r="U35" s="146"/>
    </row>
    <row r="36" spans="3:23" x14ac:dyDescent="0.25">
      <c r="C36" s="56" t="s">
        <v>53</v>
      </c>
      <c r="N36" s="126"/>
      <c r="O36" s="127"/>
      <c r="P36" s="128"/>
      <c r="Q36" s="129"/>
      <c r="R36" s="130"/>
      <c r="S36" s="131"/>
      <c r="T36" s="146"/>
      <c r="U36" s="146"/>
    </row>
    <row r="37" spans="3:23" x14ac:dyDescent="0.25">
      <c r="D37" s="57" t="s">
        <v>4</v>
      </c>
      <c r="L37" s="68" t="s">
        <v>16</v>
      </c>
      <c r="M37" s="94"/>
      <c r="N37" s="95">
        <v>0.153</v>
      </c>
      <c r="O37" s="96">
        <v>0.153</v>
      </c>
      <c r="P37" s="97">
        <v>0.153</v>
      </c>
      <c r="Q37" s="98">
        <v>0.153</v>
      </c>
      <c r="R37" s="99">
        <v>0.153</v>
      </c>
      <c r="S37" s="100">
        <v>0.153</v>
      </c>
      <c r="T37" s="146"/>
      <c r="U37" s="146"/>
    </row>
    <row r="38" spans="3:23" x14ac:dyDescent="0.25">
      <c r="D38" s="57" t="s">
        <v>54</v>
      </c>
      <c r="N38" s="154"/>
      <c r="O38" s="155"/>
      <c r="P38" s="156"/>
      <c r="Q38" s="179"/>
      <c r="R38" s="157"/>
      <c r="S38" s="158"/>
      <c r="T38" s="146"/>
      <c r="U38" s="146"/>
    </row>
    <row r="39" spans="3:23" x14ac:dyDescent="0.25">
      <c r="E39" s="789" t="s">
        <v>311</v>
      </c>
      <c r="L39" s="68" t="s">
        <v>16</v>
      </c>
      <c r="N39" s="106" t="str">
        <f>IF($N$15&gt;0, N68, "NA")</f>
        <v>NA</v>
      </c>
      <c r="O39" s="101" t="str">
        <f>IF($O$15&gt;0, O68, "NA")</f>
        <v>NA</v>
      </c>
      <c r="P39" s="102" t="str">
        <f>IF(P15&gt;0, P68, "NA")</f>
        <v>NA</v>
      </c>
      <c r="Q39" s="103" t="str">
        <f>IF(Q15&gt;0, Q68, "NA")</f>
        <v>NA</v>
      </c>
      <c r="R39" s="104" t="str">
        <f>IF(R15&gt;0, R68, "NA")</f>
        <v>NA</v>
      </c>
      <c r="S39" s="105" t="str">
        <f>IF(S15&gt;0, S68, "NA")</f>
        <v>NA</v>
      </c>
      <c r="T39" s="146"/>
      <c r="U39" s="146"/>
    </row>
    <row r="40" spans="3:23" x14ac:dyDescent="0.25">
      <c r="E40" s="789" t="s">
        <v>298</v>
      </c>
      <c r="L40" s="68" t="s">
        <v>16</v>
      </c>
      <c r="N40" s="106" t="str">
        <f t="shared" ref="N40:S40" si="3">IF(N15&gt;0, N72, "NA")</f>
        <v>NA</v>
      </c>
      <c r="O40" s="101" t="str">
        <f t="shared" si="3"/>
        <v>NA</v>
      </c>
      <c r="P40" s="102" t="str">
        <f t="shared" si="3"/>
        <v>NA</v>
      </c>
      <c r="Q40" s="103" t="str">
        <f t="shared" si="3"/>
        <v>NA</v>
      </c>
      <c r="R40" s="104" t="str">
        <f t="shared" si="3"/>
        <v>NA</v>
      </c>
      <c r="S40" s="105" t="str">
        <f t="shared" si="3"/>
        <v>NA</v>
      </c>
      <c r="T40" s="146"/>
      <c r="U40" s="146"/>
    </row>
    <row r="41" spans="3:23" x14ac:dyDescent="0.25">
      <c r="E41" s="181" t="s">
        <v>299</v>
      </c>
      <c r="L41" s="68" t="s">
        <v>16</v>
      </c>
      <c r="N41" s="95">
        <v>8.5000000000000006E-2</v>
      </c>
      <c r="O41" s="96">
        <v>8.5000000000000006E-2</v>
      </c>
      <c r="P41" s="97">
        <v>8.5000000000000006E-2</v>
      </c>
      <c r="Q41" s="98">
        <v>8.5000000000000006E-2</v>
      </c>
      <c r="R41" s="99">
        <v>8.5000000000000006E-2</v>
      </c>
      <c r="S41" s="100">
        <v>8.5000000000000006E-2</v>
      </c>
      <c r="T41" s="146"/>
      <c r="U41" s="146"/>
      <c r="W41" s="205"/>
    </row>
    <row r="42" spans="3:23" x14ac:dyDescent="0.25">
      <c r="N42" s="154"/>
      <c r="O42" s="155"/>
      <c r="P42" s="156"/>
      <c r="Q42" s="179"/>
      <c r="R42" s="157"/>
      <c r="S42" s="158"/>
      <c r="T42" s="146"/>
      <c r="U42" s="146"/>
    </row>
    <row r="43" spans="3:23" x14ac:dyDescent="0.25">
      <c r="C43" s="56" t="s">
        <v>29</v>
      </c>
      <c r="D43" s="56"/>
      <c r="E43" s="56"/>
      <c r="N43" s="154"/>
      <c r="O43" s="155"/>
      <c r="P43" s="156"/>
      <c r="Q43" s="179"/>
      <c r="R43" s="157"/>
      <c r="S43" s="158"/>
      <c r="T43" s="146"/>
      <c r="U43" s="146"/>
    </row>
    <row r="44" spans="3:23" x14ac:dyDescent="0.25">
      <c r="C44" s="56"/>
      <c r="D44" s="789" t="s">
        <v>311</v>
      </c>
      <c r="E44" s="56"/>
      <c r="L44" s="68" t="s">
        <v>20</v>
      </c>
      <c r="N44" s="69">
        <f t="shared" ref="N44:S44" si="4">N69</f>
        <v>0</v>
      </c>
      <c r="O44" s="70">
        <f t="shared" si="4"/>
        <v>0</v>
      </c>
      <c r="P44" s="71">
        <f t="shared" si="4"/>
        <v>0</v>
      </c>
      <c r="Q44" s="72">
        <f t="shared" si="4"/>
        <v>0</v>
      </c>
      <c r="R44" s="73">
        <f t="shared" si="4"/>
        <v>0</v>
      </c>
      <c r="S44" s="74">
        <f t="shared" si="4"/>
        <v>0</v>
      </c>
      <c r="T44" s="146"/>
      <c r="U44" s="146"/>
    </row>
    <row r="45" spans="3:23" x14ac:dyDescent="0.25">
      <c r="D45" s="789" t="s">
        <v>298</v>
      </c>
      <c r="L45" s="68" t="s">
        <v>20</v>
      </c>
      <c r="N45" s="69">
        <f t="shared" ref="N45:S45" si="5">N73</f>
        <v>0</v>
      </c>
      <c r="O45" s="70">
        <f t="shared" si="5"/>
        <v>0</v>
      </c>
      <c r="P45" s="71">
        <f t="shared" si="5"/>
        <v>0</v>
      </c>
      <c r="Q45" s="72">
        <f t="shared" si="5"/>
        <v>0</v>
      </c>
      <c r="R45" s="73">
        <f t="shared" si="5"/>
        <v>0</v>
      </c>
      <c r="S45" s="74">
        <f t="shared" si="5"/>
        <v>0</v>
      </c>
      <c r="T45" s="146"/>
      <c r="U45" s="146"/>
    </row>
    <row r="46" spans="3:23" x14ac:dyDescent="0.25">
      <c r="D46" s="181" t="s">
        <v>299</v>
      </c>
      <c r="L46" s="68" t="s">
        <v>20</v>
      </c>
      <c r="N46" s="75">
        <v>0</v>
      </c>
      <c r="O46" s="76">
        <v>20</v>
      </c>
      <c r="P46" s="77">
        <v>0</v>
      </c>
      <c r="Q46" s="78">
        <v>0</v>
      </c>
      <c r="R46" s="79">
        <v>0</v>
      </c>
      <c r="S46" s="80">
        <v>0</v>
      </c>
      <c r="T46" s="146"/>
      <c r="U46" s="146"/>
      <c r="V46" s="799" t="s">
        <v>254</v>
      </c>
      <c r="W46" s="57" t="s">
        <v>430</v>
      </c>
    </row>
    <row r="47" spans="3:23" x14ac:dyDescent="0.25">
      <c r="L47" s="68"/>
      <c r="N47" s="107"/>
      <c r="O47" s="108"/>
      <c r="P47" s="109"/>
      <c r="Q47" s="110"/>
      <c r="R47" s="111"/>
      <c r="S47" s="112"/>
      <c r="T47" s="146"/>
      <c r="U47" s="146"/>
    </row>
    <row r="48" spans="3:23" x14ac:dyDescent="0.25">
      <c r="C48" s="56" t="s">
        <v>348</v>
      </c>
      <c r="L48" s="68"/>
      <c r="N48" s="107"/>
      <c r="O48" s="108"/>
      <c r="P48" s="109"/>
      <c r="Q48" s="110"/>
      <c r="R48" s="111"/>
      <c r="S48" s="112"/>
      <c r="T48" s="146"/>
      <c r="U48" s="146"/>
    </row>
    <row r="49" spans="1:22" x14ac:dyDescent="0.25">
      <c r="D49" s="789" t="s">
        <v>311</v>
      </c>
      <c r="L49" s="68" t="s">
        <v>30</v>
      </c>
      <c r="N49" s="113">
        <f t="shared" ref="N49:S49" si="6">N70</f>
        <v>0</v>
      </c>
      <c r="O49" s="114">
        <f t="shared" si="6"/>
        <v>0</v>
      </c>
      <c r="P49" s="115">
        <f t="shared" si="6"/>
        <v>0</v>
      </c>
      <c r="Q49" s="116">
        <f t="shared" si="6"/>
        <v>0</v>
      </c>
      <c r="R49" s="117">
        <f t="shared" si="6"/>
        <v>0</v>
      </c>
      <c r="S49" s="118">
        <f t="shared" si="6"/>
        <v>0</v>
      </c>
      <c r="T49" s="146"/>
      <c r="U49" s="146"/>
    </row>
    <row r="50" spans="1:22" x14ac:dyDescent="0.25">
      <c r="D50" s="789" t="s">
        <v>298</v>
      </c>
      <c r="L50" s="68" t="s">
        <v>30</v>
      </c>
      <c r="N50" s="69">
        <f t="shared" ref="N50:S50" si="7">N74</f>
        <v>0</v>
      </c>
      <c r="O50" s="70">
        <f t="shared" si="7"/>
        <v>0</v>
      </c>
      <c r="P50" s="71">
        <f t="shared" si="7"/>
        <v>0</v>
      </c>
      <c r="Q50" s="72">
        <f t="shared" si="7"/>
        <v>0</v>
      </c>
      <c r="R50" s="73">
        <f t="shared" si="7"/>
        <v>0</v>
      </c>
      <c r="S50" s="74">
        <f t="shared" si="7"/>
        <v>0</v>
      </c>
      <c r="T50" s="146"/>
      <c r="U50" s="146"/>
    </row>
    <row r="51" spans="1:22" x14ac:dyDescent="0.25">
      <c r="D51" s="181" t="s">
        <v>299</v>
      </c>
      <c r="L51" s="68" t="s">
        <v>30</v>
      </c>
      <c r="N51" s="119">
        <v>0</v>
      </c>
      <c r="O51" s="120">
        <v>0</v>
      </c>
      <c r="P51" s="121">
        <v>0</v>
      </c>
      <c r="Q51" s="122">
        <v>0</v>
      </c>
      <c r="R51" s="123">
        <v>0</v>
      </c>
      <c r="S51" s="124">
        <v>0</v>
      </c>
      <c r="T51" s="146"/>
      <c r="U51" s="146"/>
    </row>
    <row r="52" spans="1:22" x14ac:dyDescent="0.25">
      <c r="N52" s="68"/>
      <c r="O52" s="68"/>
      <c r="P52" s="68"/>
      <c r="Q52" s="68"/>
      <c r="R52" s="68"/>
      <c r="S52" s="68"/>
      <c r="T52" s="68"/>
      <c r="U52" s="68"/>
    </row>
    <row r="53" spans="1:22" s="146" customFormat="1" ht="12.75" customHeight="1" x14ac:dyDescent="0.25">
      <c r="A53" s="782" t="s">
        <v>207</v>
      </c>
      <c r="B53" s="782"/>
      <c r="C53" s="782"/>
      <c r="D53" s="782"/>
      <c r="E53" s="782"/>
      <c r="F53" s="782"/>
      <c r="G53" s="782"/>
      <c r="H53" s="782"/>
      <c r="I53" s="782"/>
      <c r="J53" s="782"/>
      <c r="K53" s="783"/>
      <c r="L53" s="783"/>
      <c r="M53" s="783"/>
      <c r="N53" s="783"/>
      <c r="O53" s="783"/>
      <c r="P53" s="783"/>
      <c r="Q53" s="783"/>
      <c r="R53" s="783"/>
      <c r="S53" s="783"/>
      <c r="T53" s="783"/>
      <c r="U53" s="783"/>
      <c r="V53" s="783"/>
    </row>
    <row r="54" spans="1:22" s="146" customFormat="1" ht="12.75" customHeight="1" x14ac:dyDescent="0.25">
      <c r="A54" s="786"/>
      <c r="B54" s="786"/>
      <c r="C54" s="786"/>
      <c r="D54" s="786"/>
      <c r="E54" s="786"/>
      <c r="F54" s="786"/>
      <c r="G54" s="786"/>
      <c r="H54" s="786"/>
      <c r="I54" s="786"/>
      <c r="J54" s="786"/>
      <c r="K54" s="787"/>
      <c r="L54" s="787"/>
      <c r="M54" s="787"/>
      <c r="N54" s="787"/>
      <c r="O54" s="787"/>
      <c r="P54" s="787"/>
      <c r="Q54" s="787"/>
      <c r="R54" s="787"/>
      <c r="S54" s="787"/>
      <c r="T54" s="787"/>
      <c r="U54" s="787"/>
      <c r="V54" s="787"/>
    </row>
    <row r="55" spans="1:22" s="146" customFormat="1" ht="12.75" customHeight="1" x14ac:dyDescent="0.25">
      <c r="A55" s="786"/>
      <c r="B55" s="55" t="s">
        <v>248</v>
      </c>
      <c r="C55" s="81"/>
      <c r="D55" s="81"/>
      <c r="E55" s="81"/>
      <c r="F55" s="81"/>
      <c r="G55" s="81"/>
      <c r="H55" s="81"/>
      <c r="I55" s="81"/>
      <c r="J55" s="81"/>
      <c r="K55" s="55"/>
      <c r="L55" s="788"/>
      <c r="M55" s="788"/>
      <c r="N55" s="788"/>
      <c r="O55" s="788"/>
      <c r="P55" s="788"/>
      <c r="Q55" s="788"/>
      <c r="R55" s="788"/>
      <c r="S55" s="788"/>
      <c r="T55" s="788"/>
      <c r="U55" s="788"/>
      <c r="V55" s="788"/>
    </row>
    <row r="56" spans="1:22" s="146" customFormat="1" ht="12.75" customHeight="1" x14ac:dyDescent="0.25">
      <c r="A56" s="786"/>
      <c r="B56" s="83"/>
      <c r="C56" s="182"/>
      <c r="D56" s="182"/>
      <c r="E56" s="182"/>
      <c r="F56" s="182"/>
      <c r="G56" s="182"/>
      <c r="H56" s="182"/>
      <c r="I56" s="182"/>
      <c r="J56" s="182"/>
      <c r="K56" s="83"/>
      <c r="L56" s="787"/>
      <c r="M56" s="787"/>
      <c r="N56" s="788"/>
      <c r="O56" s="788"/>
      <c r="P56" s="788"/>
      <c r="Q56" s="788"/>
      <c r="R56" s="788"/>
      <c r="S56" s="788"/>
      <c r="T56" s="787"/>
      <c r="U56" s="787"/>
    </row>
    <row r="57" spans="1:22" x14ac:dyDescent="0.25">
      <c r="N57" s="1648" t="s">
        <v>56</v>
      </c>
      <c r="O57" s="1649"/>
      <c r="P57" s="1649"/>
      <c r="Q57" s="1649"/>
      <c r="R57" s="1649"/>
      <c r="S57" s="1650"/>
      <c r="T57" s="146"/>
      <c r="U57" s="146"/>
    </row>
    <row r="58" spans="1:22" x14ac:dyDescent="0.25">
      <c r="B58" s="83"/>
      <c r="D58" s="182"/>
      <c r="E58" s="182"/>
      <c r="F58" s="182"/>
      <c r="G58" s="182"/>
      <c r="H58" s="182"/>
      <c r="I58" s="182"/>
      <c r="J58" s="182"/>
      <c r="K58" s="83"/>
      <c r="L58" s="84"/>
      <c r="M58" s="186"/>
      <c r="N58" s="61" t="str">
        <f>$N$14</f>
        <v>Natural Gas</v>
      </c>
      <c r="O58" s="62" t="str">
        <f>$O$14</f>
        <v>Coal</v>
      </c>
      <c r="P58" s="63" t="str">
        <f>$P$14</f>
        <v>Hydro</v>
      </c>
      <c r="Q58" s="64" t="str">
        <f>$Q$14</f>
        <v>Diesel Fuel</v>
      </c>
      <c r="R58" s="82" t="str">
        <f>$R$14</f>
        <v>Heavy Fuel Oil</v>
      </c>
      <c r="S58" s="66" t="str">
        <f>$S$14</f>
        <v>Geothermal</v>
      </c>
      <c r="T58" s="146"/>
      <c r="U58" s="146"/>
    </row>
    <row r="59" spans="1:22" x14ac:dyDescent="0.25">
      <c r="B59" s="83"/>
      <c r="C59" s="56" t="s">
        <v>222</v>
      </c>
      <c r="K59" s="83"/>
      <c r="L59" s="84"/>
      <c r="M59" s="186"/>
      <c r="N59" s="187"/>
      <c r="O59" s="188"/>
      <c r="P59" s="189"/>
      <c r="Q59" s="190"/>
      <c r="R59" s="191"/>
      <c r="S59" s="192"/>
      <c r="T59" s="146"/>
      <c r="U59" s="146"/>
    </row>
    <row r="60" spans="1:22" x14ac:dyDescent="0.25">
      <c r="A60" s="91"/>
      <c r="B60" s="91"/>
      <c r="C60" s="91"/>
      <c r="D60" s="132" t="s">
        <v>217</v>
      </c>
      <c r="E60" s="133"/>
      <c r="F60" s="133"/>
      <c r="N60" s="134" t="s">
        <v>7</v>
      </c>
      <c r="O60" s="135" t="s">
        <v>7</v>
      </c>
      <c r="P60" s="136" t="s">
        <v>7</v>
      </c>
      <c r="Q60" s="137" t="s">
        <v>7</v>
      </c>
      <c r="R60" s="138" t="s">
        <v>7</v>
      </c>
      <c r="S60" s="139" t="s">
        <v>7</v>
      </c>
      <c r="T60" s="146"/>
      <c r="U60" s="146"/>
      <c r="V60" s="799"/>
    </row>
    <row r="61" spans="1:22" x14ac:dyDescent="0.25">
      <c r="A61" s="91"/>
      <c r="B61" s="91"/>
      <c r="C61" s="91"/>
      <c r="D61" s="91"/>
      <c r="E61" s="57" t="s">
        <v>387</v>
      </c>
      <c r="F61" s="91"/>
      <c r="G61" s="91"/>
      <c r="H61" s="91"/>
      <c r="I61" s="91"/>
      <c r="J61" s="132"/>
      <c r="L61" s="68" t="s">
        <v>16</v>
      </c>
      <c r="N61" s="85">
        <v>0</v>
      </c>
      <c r="O61" s="86">
        <v>0</v>
      </c>
      <c r="P61" s="87">
        <v>0</v>
      </c>
      <c r="Q61" s="88">
        <v>0</v>
      </c>
      <c r="R61" s="89">
        <v>0</v>
      </c>
      <c r="S61" s="90">
        <v>0</v>
      </c>
      <c r="T61" s="146"/>
      <c r="U61" s="146"/>
    </row>
    <row r="62" spans="1:22" x14ac:dyDescent="0.25">
      <c r="A62" s="91"/>
      <c r="B62" s="91"/>
      <c r="C62" s="91"/>
      <c r="D62" s="132" t="s">
        <v>187</v>
      </c>
      <c r="E62" s="133"/>
      <c r="F62" s="133"/>
      <c r="N62" s="134" t="s">
        <v>7</v>
      </c>
      <c r="O62" s="135" t="s">
        <v>7</v>
      </c>
      <c r="P62" s="136" t="s">
        <v>7</v>
      </c>
      <c r="Q62" s="137" t="s">
        <v>7</v>
      </c>
      <c r="R62" s="138" t="s">
        <v>7</v>
      </c>
      <c r="S62" s="139" t="s">
        <v>7</v>
      </c>
      <c r="T62" s="146"/>
      <c r="U62" s="146"/>
    </row>
    <row r="63" spans="1:22" x14ac:dyDescent="0.25">
      <c r="E63" s="57" t="s">
        <v>386</v>
      </c>
      <c r="J63" s="132"/>
      <c r="L63" s="68" t="s">
        <v>16</v>
      </c>
      <c r="N63" s="85">
        <v>0</v>
      </c>
      <c r="O63" s="86">
        <v>0</v>
      </c>
      <c r="P63" s="87">
        <v>0</v>
      </c>
      <c r="Q63" s="88">
        <v>0</v>
      </c>
      <c r="R63" s="89">
        <v>0</v>
      </c>
      <c r="S63" s="90">
        <v>0</v>
      </c>
      <c r="T63" s="146"/>
      <c r="U63" s="146"/>
    </row>
    <row r="64" spans="1:22" s="56" customFormat="1" x14ac:dyDescent="0.25">
      <c r="A64" s="193"/>
      <c r="B64" s="193"/>
      <c r="C64" s="193"/>
      <c r="D64" s="132" t="s">
        <v>340</v>
      </c>
      <c r="E64" s="132"/>
      <c r="F64" s="132"/>
      <c r="N64" s="194" t="s">
        <v>7</v>
      </c>
      <c r="O64" s="195" t="s">
        <v>7</v>
      </c>
      <c r="P64" s="196" t="s">
        <v>7</v>
      </c>
      <c r="Q64" s="197" t="s">
        <v>7</v>
      </c>
      <c r="R64" s="198" t="s">
        <v>7</v>
      </c>
      <c r="S64" s="199" t="s">
        <v>7</v>
      </c>
      <c r="T64" s="146"/>
      <c r="U64" s="146"/>
    </row>
    <row r="65" spans="1:23" ht="6.75" customHeight="1" x14ac:dyDescent="0.25">
      <c r="A65" s="91"/>
      <c r="B65" s="91"/>
      <c r="C65" s="91"/>
      <c r="D65" s="133"/>
      <c r="E65" s="133"/>
      <c r="F65" s="133"/>
      <c r="N65" s="161"/>
      <c r="O65" s="162"/>
      <c r="P65" s="163"/>
      <c r="Q65" s="164"/>
      <c r="R65" s="165"/>
      <c r="S65" s="166"/>
      <c r="T65" s="146"/>
      <c r="U65" s="146"/>
    </row>
    <row r="66" spans="1:23" x14ac:dyDescent="0.25">
      <c r="C66" s="56" t="s">
        <v>240</v>
      </c>
      <c r="N66" s="161"/>
      <c r="O66" s="162"/>
      <c r="P66" s="163"/>
      <c r="Q66" s="164"/>
      <c r="R66" s="165"/>
      <c r="S66" s="166"/>
      <c r="T66" s="146"/>
      <c r="U66" s="146"/>
    </row>
    <row r="67" spans="1:23" x14ac:dyDescent="0.25">
      <c r="D67" s="132" t="str">
        <f>D60</f>
        <v>Public Loans</v>
      </c>
      <c r="N67" s="161"/>
      <c r="O67" s="162"/>
      <c r="P67" s="163"/>
      <c r="Q67" s="164"/>
      <c r="R67" s="165"/>
      <c r="S67" s="166"/>
      <c r="T67" s="146"/>
      <c r="U67" s="146"/>
    </row>
    <row r="68" spans="1:23" x14ac:dyDescent="0.25">
      <c r="E68" s="57" t="s">
        <v>369</v>
      </c>
      <c r="J68" s="132"/>
      <c r="L68" s="68" t="s">
        <v>16</v>
      </c>
      <c r="N68" s="95">
        <v>0</v>
      </c>
      <c r="O68" s="96">
        <v>0</v>
      </c>
      <c r="P68" s="97">
        <v>0</v>
      </c>
      <c r="Q68" s="98">
        <v>0</v>
      </c>
      <c r="R68" s="99">
        <v>0</v>
      </c>
      <c r="S68" s="100">
        <v>0</v>
      </c>
      <c r="T68" s="146"/>
      <c r="U68" s="146"/>
    </row>
    <row r="69" spans="1:23" x14ac:dyDescent="0.25">
      <c r="E69" s="57" t="s">
        <v>29</v>
      </c>
      <c r="J69" s="132"/>
      <c r="L69" s="68" t="s">
        <v>20</v>
      </c>
      <c r="N69" s="75">
        <v>0</v>
      </c>
      <c r="O69" s="76">
        <v>0</v>
      </c>
      <c r="P69" s="77">
        <v>0</v>
      </c>
      <c r="Q69" s="78">
        <v>0</v>
      </c>
      <c r="R69" s="79">
        <v>0</v>
      </c>
      <c r="S69" s="80">
        <v>0</v>
      </c>
      <c r="T69" s="146"/>
      <c r="U69" s="146"/>
      <c r="V69" s="799" t="s">
        <v>254</v>
      </c>
      <c r="W69" s="57" t="s">
        <v>430</v>
      </c>
    </row>
    <row r="70" spans="1:23" x14ac:dyDescent="0.25">
      <c r="E70" s="57" t="s">
        <v>368</v>
      </c>
      <c r="L70" s="68" t="s">
        <v>30</v>
      </c>
      <c r="N70" s="75">
        <v>0</v>
      </c>
      <c r="O70" s="76">
        <v>0</v>
      </c>
      <c r="P70" s="77">
        <v>0</v>
      </c>
      <c r="Q70" s="78">
        <v>0</v>
      </c>
      <c r="R70" s="79">
        <v>0</v>
      </c>
      <c r="S70" s="80">
        <v>0</v>
      </c>
      <c r="T70" s="146"/>
      <c r="U70" s="146"/>
    </row>
    <row r="71" spans="1:23" x14ac:dyDescent="0.25">
      <c r="A71" s="91"/>
      <c r="B71" s="91"/>
      <c r="C71" s="91"/>
      <c r="D71" s="132" t="s">
        <v>187</v>
      </c>
      <c r="E71" s="133"/>
      <c r="F71" s="133"/>
      <c r="N71" s="134" t="s">
        <v>7</v>
      </c>
      <c r="O71" s="135" t="s">
        <v>7</v>
      </c>
      <c r="P71" s="136" t="s">
        <v>7</v>
      </c>
      <c r="Q71" s="137" t="s">
        <v>7</v>
      </c>
      <c r="R71" s="138" t="s">
        <v>7</v>
      </c>
      <c r="S71" s="139" t="s">
        <v>7</v>
      </c>
      <c r="T71" s="146"/>
      <c r="U71" s="146"/>
    </row>
    <row r="72" spans="1:23" x14ac:dyDescent="0.25">
      <c r="E72" s="57" t="s">
        <v>370</v>
      </c>
      <c r="J72" s="132"/>
      <c r="L72" s="68" t="s">
        <v>16</v>
      </c>
      <c r="N72" s="95">
        <v>0</v>
      </c>
      <c r="O72" s="96">
        <v>0</v>
      </c>
      <c r="P72" s="97">
        <v>0</v>
      </c>
      <c r="Q72" s="98">
        <v>0</v>
      </c>
      <c r="R72" s="99">
        <v>0</v>
      </c>
      <c r="S72" s="100">
        <v>0</v>
      </c>
      <c r="T72" s="146"/>
      <c r="U72" s="146"/>
    </row>
    <row r="73" spans="1:23" x14ac:dyDescent="0.25">
      <c r="E73" s="57" t="s">
        <v>372</v>
      </c>
      <c r="J73" s="132"/>
      <c r="L73" s="68" t="s">
        <v>20</v>
      </c>
      <c r="N73" s="75">
        <v>0</v>
      </c>
      <c r="O73" s="76">
        <v>0</v>
      </c>
      <c r="P73" s="77">
        <v>0</v>
      </c>
      <c r="Q73" s="78">
        <v>0</v>
      </c>
      <c r="R73" s="79">
        <v>0</v>
      </c>
      <c r="S73" s="80">
        <v>0</v>
      </c>
      <c r="T73" s="146"/>
      <c r="U73" s="146"/>
      <c r="V73" s="799" t="s">
        <v>254</v>
      </c>
      <c r="W73" s="57" t="s">
        <v>430</v>
      </c>
    </row>
    <row r="74" spans="1:23" x14ac:dyDescent="0.25">
      <c r="E74" s="57" t="s">
        <v>371</v>
      </c>
      <c r="J74" s="132"/>
      <c r="L74" s="68" t="s">
        <v>30</v>
      </c>
      <c r="N74" s="75">
        <v>0</v>
      </c>
      <c r="O74" s="76">
        <v>0</v>
      </c>
      <c r="P74" s="77">
        <v>0</v>
      </c>
      <c r="Q74" s="78">
        <v>0</v>
      </c>
      <c r="R74" s="79">
        <v>0</v>
      </c>
      <c r="S74" s="80">
        <v>0</v>
      </c>
      <c r="T74" s="146"/>
      <c r="U74" s="146"/>
    </row>
    <row r="75" spans="1:23" x14ac:dyDescent="0.25">
      <c r="E75" s="57" t="s">
        <v>374</v>
      </c>
      <c r="J75" s="56"/>
      <c r="L75" s="68" t="s">
        <v>16</v>
      </c>
      <c r="N75" s="95">
        <v>0</v>
      </c>
      <c r="O75" s="96">
        <v>0</v>
      </c>
      <c r="P75" s="97">
        <v>0</v>
      </c>
      <c r="Q75" s="98">
        <v>0</v>
      </c>
      <c r="R75" s="99">
        <v>0</v>
      </c>
      <c r="S75" s="100">
        <v>0</v>
      </c>
      <c r="T75" s="146"/>
      <c r="U75" s="146"/>
    </row>
    <row r="76" spans="1:23" x14ac:dyDescent="0.25">
      <c r="E76" s="57" t="s">
        <v>373</v>
      </c>
      <c r="J76" s="56"/>
      <c r="L76" s="68" t="s">
        <v>20</v>
      </c>
      <c r="N76" s="69">
        <f t="shared" ref="N76:S76" si="8">N73</f>
        <v>0</v>
      </c>
      <c r="O76" s="70">
        <f t="shared" si="8"/>
        <v>0</v>
      </c>
      <c r="P76" s="71">
        <f t="shared" si="8"/>
        <v>0</v>
      </c>
      <c r="Q76" s="72">
        <f t="shared" si="8"/>
        <v>0</v>
      </c>
      <c r="R76" s="73">
        <f t="shared" si="8"/>
        <v>0</v>
      </c>
      <c r="S76" s="74">
        <f t="shared" si="8"/>
        <v>0</v>
      </c>
      <c r="T76" s="146"/>
      <c r="U76" s="146"/>
    </row>
    <row r="77" spans="1:23" x14ac:dyDescent="0.25">
      <c r="E77" s="57" t="s">
        <v>375</v>
      </c>
      <c r="L77" s="68" t="s">
        <v>30</v>
      </c>
      <c r="N77" s="75">
        <v>0</v>
      </c>
      <c r="O77" s="76">
        <v>0</v>
      </c>
      <c r="P77" s="77">
        <v>0</v>
      </c>
      <c r="Q77" s="78">
        <v>0</v>
      </c>
      <c r="R77" s="79">
        <v>0</v>
      </c>
      <c r="S77" s="80">
        <v>0</v>
      </c>
      <c r="T77" s="146"/>
      <c r="U77" s="146"/>
    </row>
    <row r="78" spans="1:23" x14ac:dyDescent="0.25">
      <c r="E78" s="57" t="s">
        <v>376</v>
      </c>
      <c r="L78" s="68" t="s">
        <v>30</v>
      </c>
      <c r="N78" s="75">
        <v>0</v>
      </c>
      <c r="O78" s="76">
        <v>0</v>
      </c>
      <c r="P78" s="77">
        <v>0</v>
      </c>
      <c r="Q78" s="78">
        <v>0</v>
      </c>
      <c r="R78" s="79">
        <v>0</v>
      </c>
      <c r="S78" s="80">
        <v>0</v>
      </c>
      <c r="T78" s="146"/>
      <c r="U78" s="146"/>
      <c r="V78" s="799" t="s">
        <v>254</v>
      </c>
      <c r="W78" s="57" t="s">
        <v>267</v>
      </c>
    </row>
    <row r="79" spans="1:23" s="91" customFormat="1" x14ac:dyDescent="0.25">
      <c r="D79" s="132" t="s">
        <v>340</v>
      </c>
      <c r="E79" s="146"/>
      <c r="F79" s="146"/>
      <c r="G79" s="146"/>
      <c r="H79" s="146"/>
      <c r="I79" s="146"/>
      <c r="J79" s="146"/>
      <c r="K79" s="146"/>
      <c r="L79" s="146"/>
      <c r="M79" s="146"/>
      <c r="N79" s="107"/>
      <c r="O79" s="108"/>
      <c r="P79" s="109"/>
      <c r="Q79" s="110"/>
      <c r="R79" s="111"/>
      <c r="S79" s="112"/>
      <c r="T79" s="146"/>
      <c r="U79" s="146"/>
    </row>
    <row r="80" spans="1:23" x14ac:dyDescent="0.25">
      <c r="E80" s="57" t="s">
        <v>377</v>
      </c>
      <c r="J80" s="56"/>
      <c r="L80" s="68" t="s">
        <v>16</v>
      </c>
      <c r="N80" s="95">
        <v>0</v>
      </c>
      <c r="O80" s="96">
        <v>0</v>
      </c>
      <c r="P80" s="97">
        <v>0</v>
      </c>
      <c r="Q80" s="98">
        <v>0</v>
      </c>
      <c r="R80" s="99">
        <v>0</v>
      </c>
      <c r="S80" s="100">
        <v>0</v>
      </c>
      <c r="T80" s="146"/>
      <c r="U80" s="146"/>
    </row>
    <row r="81" spans="1:23" x14ac:dyDescent="0.25">
      <c r="E81" s="57" t="s">
        <v>209</v>
      </c>
      <c r="L81" s="68" t="s">
        <v>20</v>
      </c>
      <c r="N81" s="134">
        <v>0</v>
      </c>
      <c r="O81" s="135">
        <v>0</v>
      </c>
      <c r="P81" s="136">
        <v>0</v>
      </c>
      <c r="Q81" s="137">
        <v>0</v>
      </c>
      <c r="R81" s="138">
        <v>0</v>
      </c>
      <c r="S81" s="139">
        <v>0</v>
      </c>
      <c r="T81" s="146"/>
      <c r="U81" s="146"/>
    </row>
    <row r="82" spans="1:23" x14ac:dyDescent="0.25">
      <c r="E82" s="57" t="s">
        <v>210</v>
      </c>
      <c r="L82" s="68" t="s">
        <v>30</v>
      </c>
      <c r="N82" s="134">
        <v>0</v>
      </c>
      <c r="O82" s="135">
        <v>0</v>
      </c>
      <c r="P82" s="136">
        <v>0</v>
      </c>
      <c r="Q82" s="137">
        <v>0</v>
      </c>
      <c r="R82" s="138">
        <v>0</v>
      </c>
      <c r="S82" s="139">
        <v>0</v>
      </c>
      <c r="T82" s="146"/>
      <c r="U82" s="146"/>
    </row>
    <row r="83" spans="1:23" x14ac:dyDescent="0.25">
      <c r="E83" s="57" t="s">
        <v>211</v>
      </c>
      <c r="L83" s="68" t="s">
        <v>30</v>
      </c>
      <c r="N83" s="140">
        <v>0</v>
      </c>
      <c r="O83" s="141">
        <v>0</v>
      </c>
      <c r="P83" s="142">
        <v>0</v>
      </c>
      <c r="Q83" s="143">
        <v>0</v>
      </c>
      <c r="R83" s="144">
        <v>0</v>
      </c>
      <c r="S83" s="145">
        <v>0</v>
      </c>
      <c r="T83" s="146"/>
      <c r="U83" s="146"/>
    </row>
    <row r="84" spans="1:23" s="91" customFormat="1" x14ac:dyDescent="0.25">
      <c r="D84" s="146"/>
      <c r="E84" s="146"/>
      <c r="F84" s="146"/>
      <c r="G84" s="146"/>
      <c r="H84" s="146"/>
      <c r="I84" s="146"/>
      <c r="J84" s="146"/>
      <c r="K84" s="146"/>
      <c r="L84" s="146"/>
      <c r="M84" s="146"/>
      <c r="N84" s="146"/>
      <c r="O84" s="146"/>
      <c r="P84" s="146"/>
      <c r="Q84" s="146"/>
      <c r="R84" s="146"/>
      <c r="S84" s="146"/>
      <c r="T84" s="146"/>
      <c r="U84" s="146"/>
    </row>
    <row r="85" spans="1:23" s="146" customFormat="1" ht="12.75" customHeight="1" x14ac:dyDescent="0.25">
      <c r="A85" s="782" t="s">
        <v>212</v>
      </c>
      <c r="B85" s="782"/>
      <c r="C85" s="782"/>
      <c r="D85" s="782"/>
      <c r="E85" s="782"/>
      <c r="F85" s="782"/>
      <c r="G85" s="782"/>
      <c r="H85" s="782"/>
      <c r="I85" s="782"/>
      <c r="J85" s="782"/>
      <c r="K85" s="783"/>
      <c r="L85" s="783"/>
      <c r="M85" s="783"/>
      <c r="N85" s="783"/>
      <c r="O85" s="783"/>
      <c r="P85" s="783"/>
      <c r="Q85" s="783"/>
      <c r="R85" s="783"/>
      <c r="S85" s="783"/>
      <c r="T85" s="783"/>
      <c r="U85" s="783"/>
      <c r="V85" s="783"/>
    </row>
    <row r="86" spans="1:23" s="146" customFormat="1" ht="12.75" customHeight="1" x14ac:dyDescent="0.25">
      <c r="A86" s="786"/>
      <c r="B86" s="786"/>
      <c r="C86" s="786"/>
      <c r="D86" s="786"/>
      <c r="E86" s="786"/>
      <c r="F86" s="786"/>
      <c r="G86" s="786"/>
      <c r="H86" s="786"/>
      <c r="I86" s="786"/>
      <c r="J86" s="786"/>
      <c r="K86" s="787"/>
      <c r="L86" s="787"/>
      <c r="M86" s="787"/>
      <c r="N86" s="787"/>
      <c r="O86" s="787"/>
      <c r="P86" s="787"/>
      <c r="Q86" s="787"/>
      <c r="R86" s="787"/>
      <c r="S86" s="787"/>
      <c r="T86" s="787"/>
      <c r="U86" s="787"/>
      <c r="V86" s="787"/>
    </row>
    <row r="87" spans="1:23" s="146" customFormat="1" ht="12.75" customHeight="1" x14ac:dyDescent="0.25">
      <c r="A87" s="786"/>
      <c r="B87" s="55" t="s">
        <v>215</v>
      </c>
      <c r="C87" s="55"/>
      <c r="D87" s="55"/>
      <c r="E87" s="55"/>
      <c r="F87" s="81"/>
      <c r="G87" s="81"/>
      <c r="H87" s="81"/>
      <c r="I87" s="81"/>
      <c r="J87" s="81"/>
      <c r="K87" s="81"/>
      <c r="L87" s="60"/>
      <c r="M87" s="60"/>
      <c r="N87" s="788"/>
      <c r="O87" s="788"/>
      <c r="P87" s="788"/>
      <c r="Q87" s="788"/>
      <c r="R87" s="788"/>
      <c r="S87" s="788"/>
      <c r="T87" s="788"/>
      <c r="U87" s="788"/>
      <c r="V87" s="788"/>
    </row>
    <row r="88" spans="1:23" s="146" customFormat="1" ht="12.75" customHeight="1" x14ac:dyDescent="0.25">
      <c r="A88" s="786"/>
      <c r="B88" s="786"/>
      <c r="C88" s="786"/>
      <c r="D88" s="786"/>
      <c r="E88" s="786"/>
      <c r="F88" s="786"/>
      <c r="G88" s="786"/>
      <c r="H88" s="786"/>
      <c r="I88" s="786"/>
      <c r="J88" s="786"/>
      <c r="K88" s="787"/>
      <c r="L88" s="787"/>
      <c r="M88" s="787"/>
      <c r="N88" s="787"/>
      <c r="O88" s="787"/>
      <c r="P88" s="787"/>
      <c r="Q88" s="787"/>
      <c r="R88" s="787"/>
      <c r="S88" s="787"/>
      <c r="T88" s="787"/>
      <c r="U88" s="787"/>
    </row>
    <row r="89" spans="1:23" x14ac:dyDescent="0.25">
      <c r="J89" s="56"/>
      <c r="K89" s="56"/>
      <c r="N89" s="1648" t="s">
        <v>56</v>
      </c>
      <c r="O89" s="1649"/>
      <c r="P89" s="1649"/>
      <c r="Q89" s="1649"/>
      <c r="R89" s="1649"/>
      <c r="S89" s="1650"/>
      <c r="T89" s="146"/>
      <c r="U89" s="146"/>
    </row>
    <row r="90" spans="1:23" x14ac:dyDescent="0.25">
      <c r="C90" s="56" t="s">
        <v>216</v>
      </c>
      <c r="N90" s="61" t="str">
        <f>$N$14</f>
        <v>Natural Gas</v>
      </c>
      <c r="O90" s="62" t="str">
        <f>$O$14</f>
        <v>Coal</v>
      </c>
      <c r="P90" s="63" t="str">
        <f>$P$14</f>
        <v>Hydro</v>
      </c>
      <c r="Q90" s="64" t="str">
        <f>$Q$14</f>
        <v>Diesel Fuel</v>
      </c>
      <c r="R90" s="82" t="str">
        <f>$R$14</f>
        <v>Heavy Fuel Oil</v>
      </c>
      <c r="S90" s="66" t="str">
        <f>$S$14</f>
        <v>Geothermal</v>
      </c>
      <c r="T90" s="146"/>
      <c r="U90" s="146"/>
    </row>
    <row r="91" spans="1:23" x14ac:dyDescent="0.25">
      <c r="D91" s="57" t="s">
        <v>34</v>
      </c>
      <c r="L91" s="68" t="s">
        <v>16</v>
      </c>
      <c r="M91" s="68"/>
      <c r="N91" s="670">
        <v>0.57999999999999996</v>
      </c>
      <c r="O91" s="671">
        <v>0.36499999999999999</v>
      </c>
      <c r="P91" s="672">
        <v>1</v>
      </c>
      <c r="Q91" s="673">
        <v>0.38</v>
      </c>
      <c r="R91" s="674">
        <v>0.39</v>
      </c>
      <c r="S91" s="675">
        <v>1</v>
      </c>
      <c r="T91" s="146"/>
      <c r="U91" s="146"/>
    </row>
    <row r="92" spans="1:23" x14ac:dyDescent="0.25">
      <c r="D92" s="57" t="s">
        <v>35</v>
      </c>
      <c r="L92" s="68" t="s">
        <v>19</v>
      </c>
      <c r="M92" s="68"/>
      <c r="N92" s="676">
        <v>5000</v>
      </c>
      <c r="O92" s="677">
        <v>6500</v>
      </c>
      <c r="P92" s="678">
        <v>5501</v>
      </c>
      <c r="Q92" s="679">
        <v>6084</v>
      </c>
      <c r="R92" s="680">
        <v>7346</v>
      </c>
      <c r="S92" s="681">
        <v>7212</v>
      </c>
      <c r="T92" s="146"/>
      <c r="U92" s="146"/>
    </row>
    <row r="93" spans="1:23" x14ac:dyDescent="0.25">
      <c r="D93" s="57" t="s">
        <v>36</v>
      </c>
      <c r="L93" s="68" t="s">
        <v>16</v>
      </c>
      <c r="M93" s="68"/>
      <c r="N93" s="1081">
        <f t="shared" ref="N93:S93" si="9">N92/(24*365)</f>
        <v>0.57077625570776258</v>
      </c>
      <c r="O93" s="1082">
        <f t="shared" si="9"/>
        <v>0.74200913242009137</v>
      </c>
      <c r="P93" s="1083">
        <f t="shared" si="9"/>
        <v>0.62796803652968036</v>
      </c>
      <c r="Q93" s="1084">
        <f t="shared" si="9"/>
        <v>0.69452054794520546</v>
      </c>
      <c r="R93" s="1085">
        <f t="shared" si="9"/>
        <v>0.83858447488584476</v>
      </c>
      <c r="S93" s="1086">
        <f t="shared" si="9"/>
        <v>0.82328767123287672</v>
      </c>
      <c r="T93" s="146"/>
      <c r="U93" s="146"/>
    </row>
    <row r="94" spans="1:23" x14ac:dyDescent="0.25">
      <c r="N94" s="126"/>
      <c r="O94" s="127"/>
      <c r="P94" s="128"/>
      <c r="Q94" s="129"/>
      <c r="R94" s="130"/>
      <c r="S94" s="131"/>
      <c r="T94" s="146"/>
      <c r="U94" s="146"/>
    </row>
    <row r="95" spans="1:23" x14ac:dyDescent="0.25">
      <c r="C95" s="153" t="s">
        <v>38</v>
      </c>
      <c r="N95" s="126"/>
      <c r="O95" s="127"/>
      <c r="P95" s="128"/>
      <c r="Q95" s="129"/>
      <c r="R95" s="130"/>
      <c r="S95" s="131"/>
      <c r="T95" s="146"/>
      <c r="U95" s="146"/>
    </row>
    <row r="96" spans="1:23" x14ac:dyDescent="0.25">
      <c r="D96" s="59" t="s">
        <v>219</v>
      </c>
      <c r="K96" s="159"/>
      <c r="L96" s="67"/>
      <c r="N96" s="201" t="s">
        <v>24</v>
      </c>
      <c r="O96" s="200" t="s">
        <v>24</v>
      </c>
      <c r="P96" s="202" t="s">
        <v>24</v>
      </c>
      <c r="Q96" s="1481" t="s">
        <v>24</v>
      </c>
      <c r="R96" s="203" t="s">
        <v>24</v>
      </c>
      <c r="S96" s="204" t="s">
        <v>24</v>
      </c>
      <c r="T96" s="146"/>
      <c r="U96" s="146"/>
      <c r="V96" s="797" t="s">
        <v>254</v>
      </c>
      <c r="W96" s="59" t="s">
        <v>389</v>
      </c>
    </row>
    <row r="97" spans="3:23" x14ac:dyDescent="0.25">
      <c r="E97" s="125" t="s">
        <v>378</v>
      </c>
      <c r="F97" s="125"/>
      <c r="G97" s="160"/>
      <c r="H97" s="160"/>
      <c r="I97" s="160"/>
      <c r="L97" s="68"/>
      <c r="N97" s="161"/>
      <c r="O97" s="162"/>
      <c r="P97" s="163"/>
      <c r="Q97" s="164"/>
      <c r="R97" s="165"/>
      <c r="S97" s="166"/>
      <c r="T97" s="146"/>
      <c r="U97" s="146"/>
      <c r="W97" s="57" t="s">
        <v>390</v>
      </c>
    </row>
    <row r="98" spans="3:23" x14ac:dyDescent="0.25">
      <c r="F98" s="57" t="s">
        <v>379</v>
      </c>
      <c r="L98" s="68" t="s">
        <v>618</v>
      </c>
      <c r="N98" s="1270">
        <v>0</v>
      </c>
      <c r="O98" s="1271">
        <v>0</v>
      </c>
      <c r="P98" s="1272">
        <v>0</v>
      </c>
      <c r="Q98" s="1273">
        <v>0</v>
      </c>
      <c r="R98" s="1274">
        <v>0</v>
      </c>
      <c r="S98" s="1275">
        <v>0</v>
      </c>
      <c r="T98" s="146"/>
      <c r="U98" s="146"/>
      <c r="W98" s="57" t="s">
        <v>393</v>
      </c>
    </row>
    <row r="99" spans="3:23" x14ac:dyDescent="0.25">
      <c r="F99" s="57" t="s">
        <v>380</v>
      </c>
      <c r="L99" s="68" t="s">
        <v>16</v>
      </c>
      <c r="N99" s="147">
        <v>0</v>
      </c>
      <c r="O99" s="148">
        <v>0</v>
      </c>
      <c r="P99" s="149">
        <v>0</v>
      </c>
      <c r="Q99" s="150">
        <v>0</v>
      </c>
      <c r="R99" s="151">
        <v>0</v>
      </c>
      <c r="S99" s="152">
        <v>0</v>
      </c>
      <c r="T99" s="146"/>
      <c r="U99" s="146"/>
      <c r="W99" s="57" t="s">
        <v>392</v>
      </c>
    </row>
    <row r="100" spans="3:23" x14ac:dyDescent="0.25">
      <c r="E100" s="125" t="s">
        <v>381</v>
      </c>
      <c r="F100" s="125"/>
      <c r="G100" s="160"/>
      <c r="H100" s="160"/>
      <c r="I100" s="160"/>
      <c r="L100" s="68"/>
      <c r="N100" s="167"/>
      <c r="O100" s="168"/>
      <c r="P100" s="169"/>
      <c r="Q100" s="170"/>
      <c r="R100" s="171"/>
      <c r="S100" s="172"/>
      <c r="T100" s="146"/>
      <c r="U100" s="146"/>
      <c r="W100" s="57" t="s">
        <v>391</v>
      </c>
    </row>
    <row r="101" spans="3:23" x14ac:dyDescent="0.25">
      <c r="F101" s="57" t="s">
        <v>152</v>
      </c>
      <c r="L101" s="68" t="s">
        <v>618</v>
      </c>
      <c r="N101" s="1270">
        <v>0</v>
      </c>
      <c r="O101" s="1276">
        <v>0</v>
      </c>
      <c r="P101" s="1277">
        <v>0</v>
      </c>
      <c r="Q101" s="1278">
        <v>0</v>
      </c>
      <c r="R101" s="1279">
        <v>0</v>
      </c>
      <c r="S101" s="1280">
        <v>0</v>
      </c>
      <c r="T101" s="146"/>
      <c r="U101" s="146"/>
    </row>
    <row r="102" spans="3:23" x14ac:dyDescent="0.25">
      <c r="F102" s="57" t="s">
        <v>153</v>
      </c>
      <c r="L102" s="68" t="s">
        <v>154</v>
      </c>
      <c r="N102" s="1270">
        <v>0</v>
      </c>
      <c r="O102" s="1271">
        <v>0</v>
      </c>
      <c r="P102" s="1272">
        <v>0</v>
      </c>
      <c r="Q102" s="1273">
        <v>0</v>
      </c>
      <c r="R102" s="1274">
        <v>0</v>
      </c>
      <c r="S102" s="1275">
        <v>0</v>
      </c>
      <c r="T102" s="146"/>
      <c r="U102" s="146"/>
    </row>
    <row r="103" spans="3:23" x14ac:dyDescent="0.25">
      <c r="L103" s="68"/>
      <c r="N103" s="173"/>
      <c r="O103" s="174"/>
      <c r="P103" s="175"/>
      <c r="Q103" s="176"/>
      <c r="R103" s="177"/>
      <c r="S103" s="178"/>
      <c r="T103" s="146"/>
      <c r="U103" s="146"/>
    </row>
    <row r="104" spans="3:23" x14ac:dyDescent="0.25">
      <c r="C104" s="56" t="s">
        <v>44</v>
      </c>
      <c r="K104" s="56"/>
      <c r="N104" s="154"/>
      <c r="O104" s="155"/>
      <c r="P104" s="156"/>
      <c r="Q104" s="179"/>
      <c r="R104" s="157"/>
      <c r="S104" s="158"/>
      <c r="T104" s="146"/>
      <c r="U104" s="146"/>
    </row>
    <row r="105" spans="3:23" x14ac:dyDescent="0.25">
      <c r="D105" s="57" t="s">
        <v>382</v>
      </c>
      <c r="L105" s="68" t="s">
        <v>615</v>
      </c>
      <c r="N105" s="1264">
        <v>35100</v>
      </c>
      <c r="O105" s="1265">
        <v>50000</v>
      </c>
      <c r="P105" s="1266">
        <v>57200</v>
      </c>
      <c r="Q105" s="1267">
        <v>35100</v>
      </c>
      <c r="R105" s="1268">
        <v>48100</v>
      </c>
      <c r="S105" s="1269">
        <v>98937</v>
      </c>
      <c r="T105" s="146"/>
      <c r="U105" s="146"/>
    </row>
    <row r="106" spans="3:23" x14ac:dyDescent="0.25">
      <c r="D106" s="57" t="s">
        <v>383</v>
      </c>
      <c r="L106" s="68" t="s">
        <v>16</v>
      </c>
      <c r="N106" s="147">
        <v>0</v>
      </c>
      <c r="O106" s="148">
        <v>0</v>
      </c>
      <c r="P106" s="149">
        <v>0</v>
      </c>
      <c r="Q106" s="150">
        <v>0</v>
      </c>
      <c r="R106" s="151">
        <v>0</v>
      </c>
      <c r="S106" s="152">
        <v>0</v>
      </c>
      <c r="T106" s="146"/>
      <c r="U106" s="146"/>
    </row>
    <row r="107" spans="3:23" x14ac:dyDescent="0.25">
      <c r="N107" s="154"/>
      <c r="O107" s="155"/>
      <c r="P107" s="156"/>
      <c r="Q107" s="179"/>
      <c r="R107" s="157"/>
      <c r="S107" s="158"/>
      <c r="T107" s="146"/>
      <c r="U107" s="146"/>
    </row>
    <row r="108" spans="3:23" x14ac:dyDescent="0.25">
      <c r="C108" s="56" t="s">
        <v>21</v>
      </c>
      <c r="N108" s="154"/>
      <c r="O108" s="155"/>
      <c r="P108" s="156"/>
      <c r="Q108" s="179"/>
      <c r="R108" s="157"/>
      <c r="S108" s="158"/>
      <c r="T108" s="146"/>
      <c r="U108" s="146"/>
    </row>
    <row r="109" spans="3:23" x14ac:dyDescent="0.25">
      <c r="D109" s="57" t="s">
        <v>388</v>
      </c>
      <c r="L109" s="68" t="s">
        <v>16</v>
      </c>
      <c r="N109" s="652">
        <v>1</v>
      </c>
      <c r="O109" s="653">
        <v>1</v>
      </c>
      <c r="P109" s="654">
        <v>1</v>
      </c>
      <c r="Q109" s="655">
        <v>1</v>
      </c>
      <c r="R109" s="656">
        <v>1</v>
      </c>
      <c r="S109" s="657">
        <v>1</v>
      </c>
      <c r="T109" s="146"/>
      <c r="U109" s="146"/>
    </row>
    <row r="110" spans="3:23" x14ac:dyDescent="0.25">
      <c r="C110" s="182"/>
      <c r="D110" s="182" t="s">
        <v>18</v>
      </c>
      <c r="E110" s="182"/>
      <c r="F110" s="182"/>
      <c r="G110" s="182"/>
      <c r="H110" s="182"/>
      <c r="I110" s="182"/>
      <c r="J110" s="182"/>
      <c r="K110" s="182"/>
      <c r="L110" s="762" t="s">
        <v>16</v>
      </c>
      <c r="M110" s="182"/>
      <c r="N110" s="658">
        <v>0</v>
      </c>
      <c r="O110" s="659">
        <v>0</v>
      </c>
      <c r="P110" s="660">
        <v>0</v>
      </c>
      <c r="Q110" s="661">
        <v>0</v>
      </c>
      <c r="R110" s="662">
        <v>0</v>
      </c>
      <c r="S110" s="663">
        <v>0</v>
      </c>
      <c r="T110" s="146"/>
      <c r="U110" s="146"/>
    </row>
    <row r="111" spans="3:23" s="91" customFormat="1" ht="25.5" customHeight="1" x14ac:dyDescent="0.25">
      <c r="C111" s="763"/>
      <c r="E111" s="146"/>
      <c r="F111" s="146"/>
      <c r="G111" s="146"/>
      <c r="H111" s="146"/>
      <c r="I111" s="146"/>
      <c r="J111" s="146"/>
      <c r="K111" s="146"/>
      <c r="L111" s="764"/>
      <c r="M111" s="790" t="s">
        <v>384</v>
      </c>
      <c r="N111" s="765" t="str">
        <f t="shared" ref="N111:S111" si="10">IF(SUM(N109:N110)=100%, "", "Sum must equal 100%")</f>
        <v/>
      </c>
      <c r="O111" s="765" t="str">
        <f t="shared" si="10"/>
        <v/>
      </c>
      <c r="P111" s="765" t="str">
        <f t="shared" si="10"/>
        <v/>
      </c>
      <c r="Q111" s="765" t="str">
        <f t="shared" si="10"/>
        <v/>
      </c>
      <c r="R111" s="765" t="str">
        <f t="shared" si="10"/>
        <v/>
      </c>
      <c r="S111" s="765" t="str">
        <f t="shared" si="10"/>
        <v/>
      </c>
      <c r="T111" s="651"/>
      <c r="U111" s="651"/>
    </row>
    <row r="112" spans="3:23" x14ac:dyDescent="0.25"/>
    <row r="113" x14ac:dyDescent="0.2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owBreaks count="1" manualBreakCount="1">
    <brk id="52" max="16383" man="1"/>
  </rowBreaks>
  <ignoredErrors>
    <ignoredError sqref="N32:N34 O32:P32 Q33:Q34 Q32:S32 O33:P33 R33:R34 S33:S34 O34:P34 U15"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3"/>
  <sheetViews>
    <sheetView showGridLines="0" zoomScale="85" zoomScaleNormal="85" workbookViewId="0"/>
  </sheetViews>
  <sheetFormatPr defaultColWidth="0" defaultRowHeight="13.2" zeroHeight="1" outlineLevelCol="1" x14ac:dyDescent="0.25"/>
  <cols>
    <col min="1" max="15" width="2.6640625" style="57" customWidth="1"/>
    <col min="16" max="16" width="71.109375" style="57" customWidth="1"/>
    <col min="17" max="17" width="12.44140625" style="57" bestFit="1" customWidth="1"/>
    <col min="18" max="19" width="13.6640625" style="57" customWidth="1"/>
    <col min="20" max="20" width="14.44140625" style="57" customWidth="1"/>
    <col min="21" max="21" width="13.6640625" style="57" customWidth="1"/>
    <col min="22" max="22" width="14.44140625" style="57" customWidth="1"/>
    <col min="23" max="23" width="15.44140625" style="57" customWidth="1"/>
    <col min="24" max="24" width="14.6640625" style="57" customWidth="1"/>
    <col min="25" max="25" width="14.44140625" style="57" customWidth="1"/>
    <col min="26" max="26" width="13.6640625" style="57" customWidth="1"/>
    <col min="27" max="32" width="10.6640625" style="57" customWidth="1" outlineLevel="1"/>
    <col min="33" max="33" width="3.44140625" style="57" customWidth="1"/>
    <col min="34" max="16384" width="9.109375" style="57" hidden="1"/>
  </cols>
  <sheetData>
    <row r="1" spans="1:26" x14ac:dyDescent="0.25">
      <c r="A1" s="1465" t="s">
        <v>639</v>
      </c>
    </row>
    <row r="2" spans="1:26" x14ac:dyDescent="0.25"/>
    <row r="3" spans="1:26" x14ac:dyDescent="0.25">
      <c r="A3" s="780" t="s">
        <v>474</v>
      </c>
      <c r="B3" s="780"/>
      <c r="C3" s="780"/>
      <c r="D3" s="780"/>
      <c r="E3" s="780"/>
      <c r="F3" s="780"/>
      <c r="G3" s="780"/>
      <c r="H3" s="780"/>
      <c r="I3" s="780"/>
      <c r="J3" s="780"/>
      <c r="K3" s="780"/>
      <c r="L3" s="780"/>
      <c r="M3" s="780"/>
      <c r="N3" s="791"/>
      <c r="O3" s="791"/>
      <c r="P3" s="781"/>
      <c r="Q3" s="781"/>
      <c r="R3" s="791"/>
      <c r="S3" s="791"/>
      <c r="T3" s="791"/>
      <c r="U3" s="791"/>
      <c r="V3" s="791"/>
      <c r="W3" s="791"/>
      <c r="X3" s="791"/>
      <c r="Y3" s="791"/>
      <c r="Z3" s="791"/>
    </row>
    <row r="4" spans="1:26" s="146" customFormat="1" ht="12.75" customHeight="1" x14ac:dyDescent="0.25">
      <c r="T4" s="784"/>
      <c r="U4" s="784"/>
      <c r="V4" s="784"/>
      <c r="Y4" s="764"/>
      <c r="Z4" s="764"/>
    </row>
    <row r="5" spans="1:26" s="146" customFormat="1" ht="12.75" customHeight="1" x14ac:dyDescent="0.25">
      <c r="B5" s="146" t="s">
        <v>213</v>
      </c>
      <c r="W5" s="792"/>
      <c r="Z5" s="792" t="s">
        <v>195</v>
      </c>
    </row>
    <row r="6" spans="1:26" s="146" customFormat="1" ht="12.75" customHeight="1" x14ac:dyDescent="0.25">
      <c r="C6" s="146" t="s">
        <v>476</v>
      </c>
      <c r="W6" s="793"/>
      <c r="Z6" s="793" t="s">
        <v>196</v>
      </c>
    </row>
    <row r="7" spans="1:26" s="146" customFormat="1" ht="12.75" customHeight="1" x14ac:dyDescent="0.25">
      <c r="C7" s="146" t="s">
        <v>202</v>
      </c>
      <c r="W7" s="792"/>
      <c r="Z7" s="792" t="str">
        <f>"----&gt;"</f>
        <v>----&gt;</v>
      </c>
    </row>
    <row r="8" spans="1:26" s="146" customFormat="1" x14ac:dyDescent="0.25">
      <c r="C8" s="146" t="s">
        <v>203</v>
      </c>
      <c r="T8" s="784"/>
      <c r="U8" s="784"/>
      <c r="V8" s="784"/>
    </row>
    <row r="9" spans="1:26" s="146" customFormat="1" ht="12.75" customHeight="1" x14ac:dyDescent="0.25">
      <c r="C9" s="146" t="s">
        <v>204</v>
      </c>
      <c r="T9" s="784"/>
      <c r="U9" s="784"/>
      <c r="V9" s="784"/>
    </row>
    <row r="10" spans="1:26" ht="12.75" customHeight="1" x14ac:dyDescent="0.25"/>
    <row r="11" spans="1:26" s="146" customFormat="1" ht="12.75" customHeight="1" x14ac:dyDescent="0.25">
      <c r="A11" s="782" t="s">
        <v>475</v>
      </c>
      <c r="B11" s="782"/>
      <c r="C11" s="782"/>
      <c r="D11" s="782"/>
      <c r="E11" s="782"/>
      <c r="F11" s="782"/>
      <c r="G11" s="782"/>
      <c r="H11" s="782"/>
      <c r="I11" s="782"/>
      <c r="J11" s="782"/>
      <c r="K11" s="782"/>
      <c r="L11" s="782"/>
      <c r="M11" s="785"/>
      <c r="N11" s="783"/>
      <c r="O11" s="783"/>
      <c r="P11" s="783"/>
      <c r="Q11" s="783"/>
      <c r="R11" s="783"/>
      <c r="S11" s="783"/>
      <c r="T11" s="783"/>
      <c r="U11" s="783"/>
      <c r="V11" s="783"/>
      <c r="W11" s="783"/>
      <c r="X11" s="783"/>
      <c r="Y11" s="783"/>
      <c r="Z11" s="783"/>
    </row>
    <row r="12" spans="1:26" ht="12.75" customHeight="1" x14ac:dyDescent="0.25"/>
    <row r="13" spans="1:26" ht="12.75" customHeight="1" x14ac:dyDescent="0.25">
      <c r="P13" s="827"/>
      <c r="Q13" s="84"/>
      <c r="R13" s="84"/>
      <c r="T13" s="828"/>
      <c r="U13" s="1651" t="s">
        <v>464</v>
      </c>
      <c r="V13" s="1652"/>
    </row>
    <row r="14" spans="1:26" ht="12.75" customHeight="1" x14ac:dyDescent="0.25">
      <c r="B14" s="57" t="s">
        <v>46</v>
      </c>
      <c r="Q14" s="68" t="s">
        <v>15</v>
      </c>
      <c r="T14" s="829"/>
      <c r="U14" s="1799">
        <v>500</v>
      </c>
      <c r="V14" s="1800"/>
    </row>
    <row r="15" spans="1:26" ht="12.75" customHeight="1" x14ac:dyDescent="0.25">
      <c r="B15" s="57" t="s">
        <v>14</v>
      </c>
      <c r="Q15" s="68" t="s">
        <v>615</v>
      </c>
      <c r="T15" s="830"/>
      <c r="U15" s="1801"/>
      <c r="V15" s="1802"/>
    </row>
    <row r="16" spans="1:26" ht="12.75" customHeight="1" x14ac:dyDescent="0.25">
      <c r="B16" s="57" t="s">
        <v>545</v>
      </c>
      <c r="Q16" s="68"/>
      <c r="T16" s="830"/>
      <c r="U16" s="1929"/>
      <c r="V16" s="1802"/>
    </row>
    <row r="17" spans="1:27" ht="12.75" customHeight="1" x14ac:dyDescent="0.25">
      <c r="B17" s="146" t="s">
        <v>198</v>
      </c>
      <c r="C17" s="146"/>
      <c r="Q17" s="68" t="s">
        <v>20</v>
      </c>
      <c r="T17" s="829"/>
      <c r="U17" s="1803" t="s">
        <v>639</v>
      </c>
      <c r="V17" s="1804"/>
    </row>
    <row r="18" spans="1:27" ht="12.75" customHeight="1" x14ac:dyDescent="0.25">
      <c r="B18" s="57" t="s">
        <v>17</v>
      </c>
      <c r="Q18" s="68" t="s">
        <v>16</v>
      </c>
      <c r="T18" s="831"/>
      <c r="U18" s="1805"/>
      <c r="V18" s="1806"/>
    </row>
    <row r="19" spans="1:27" ht="12.75" customHeight="1" x14ac:dyDescent="0.25">
      <c r="B19" s="57" t="s">
        <v>96</v>
      </c>
      <c r="Q19" s="68" t="s">
        <v>16</v>
      </c>
      <c r="T19" s="831"/>
      <c r="U19" s="1807">
        <v>0.06</v>
      </c>
      <c r="V19" s="1808"/>
    </row>
    <row r="20" spans="1:27" ht="12.75" customHeight="1" x14ac:dyDescent="0.25">
      <c r="B20" s="57" t="s">
        <v>590</v>
      </c>
      <c r="Q20" s="68" t="s">
        <v>154</v>
      </c>
      <c r="T20" s="831"/>
      <c r="U20" s="1659">
        <v>1</v>
      </c>
      <c r="V20" s="1660"/>
    </row>
    <row r="21" spans="1:27" ht="12.75" customHeight="1" x14ac:dyDescent="0.25"/>
    <row r="22" spans="1:27" s="146" customFormat="1" ht="12.75" customHeight="1" x14ac:dyDescent="0.25">
      <c r="A22" s="782" t="s">
        <v>205</v>
      </c>
      <c r="B22" s="782"/>
      <c r="C22" s="782"/>
      <c r="D22" s="782"/>
      <c r="E22" s="782"/>
      <c r="F22" s="782"/>
      <c r="G22" s="782"/>
      <c r="H22" s="782"/>
      <c r="I22" s="782"/>
      <c r="J22" s="782"/>
      <c r="K22" s="782"/>
      <c r="L22" s="782"/>
      <c r="M22" s="785"/>
      <c r="N22" s="783"/>
      <c r="O22" s="783"/>
      <c r="P22" s="783"/>
      <c r="Q22" s="783"/>
      <c r="R22" s="783"/>
      <c r="S22" s="783"/>
      <c r="T22" s="783"/>
      <c r="U22" s="783"/>
      <c r="V22" s="783"/>
      <c r="W22" s="783"/>
      <c r="X22" s="783"/>
      <c r="Y22" s="783"/>
      <c r="Z22" s="783"/>
    </row>
    <row r="23" spans="1:27" ht="12.75" customHeight="1" x14ac:dyDescent="0.25"/>
    <row r="24" spans="1:27" ht="12.75" customHeight="1" x14ac:dyDescent="0.25">
      <c r="B24" s="832" t="s">
        <v>206</v>
      </c>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3"/>
    </row>
    <row r="25" spans="1:27" ht="12.75" customHeight="1" x14ac:dyDescent="0.25"/>
    <row r="26" spans="1:27" ht="12.75" customHeight="1" x14ac:dyDescent="0.25">
      <c r="P26" s="827"/>
      <c r="Q26" s="84"/>
      <c r="S26" s="1716" t="s">
        <v>312</v>
      </c>
      <c r="T26" s="1717"/>
      <c r="U26" s="1718"/>
      <c r="V26" s="1688" t="s">
        <v>201</v>
      </c>
      <c r="W26" s="1689"/>
      <c r="X26" s="1690"/>
    </row>
    <row r="27" spans="1:27" ht="12.75" customHeight="1" x14ac:dyDescent="0.25">
      <c r="C27" s="56" t="s">
        <v>26</v>
      </c>
      <c r="D27" s="56"/>
      <c r="S27" s="1670"/>
      <c r="T27" s="1671"/>
      <c r="U27" s="1672"/>
      <c r="V27" s="1719"/>
      <c r="W27" s="1720"/>
      <c r="X27" s="1721"/>
    </row>
    <row r="28" spans="1:27" ht="12.75" customHeight="1" x14ac:dyDescent="0.25">
      <c r="D28" s="57" t="s">
        <v>28</v>
      </c>
      <c r="Q28" s="68" t="s">
        <v>16</v>
      </c>
      <c r="S28" s="1673"/>
      <c r="T28" s="1674"/>
      <c r="U28" s="1675"/>
      <c r="V28" s="1722">
        <f>S28</f>
        <v>0</v>
      </c>
      <c r="W28" s="1723"/>
      <c r="X28" s="1724"/>
      <c r="Y28" s="1238"/>
    </row>
    <row r="29" spans="1:27" ht="12.75" customHeight="1" x14ac:dyDescent="0.25">
      <c r="D29" s="57" t="s">
        <v>90</v>
      </c>
      <c r="Q29" s="68" t="s">
        <v>16</v>
      </c>
      <c r="S29" s="1673"/>
      <c r="T29" s="1674"/>
      <c r="U29" s="1675"/>
      <c r="V29" s="1722">
        <f>S29</f>
        <v>0</v>
      </c>
      <c r="W29" s="1723"/>
      <c r="X29" s="1724"/>
      <c r="Y29" s="1238"/>
    </row>
    <row r="30" spans="1:27" ht="12.75" customHeight="1" x14ac:dyDescent="0.25">
      <c r="E30" s="57" t="s">
        <v>367</v>
      </c>
      <c r="Q30" s="68"/>
      <c r="R30" s="834" t="s">
        <v>397</v>
      </c>
      <c r="S30" s="1835" t="str">
        <f>IF(OR(SUM(S28:U29)=1, SUM(S28:U29)=0), "", "Sum must equal 100%")</f>
        <v/>
      </c>
      <c r="T30" s="1836"/>
      <c r="U30" s="1837"/>
      <c r="V30" s="1838" t="str">
        <f>IF(OR(SUM(V28:X29)=1, SUM(V28:X29)=0), "", "Sum must equal 100%")</f>
        <v/>
      </c>
      <c r="W30" s="1839"/>
      <c r="X30" s="1840"/>
    </row>
    <row r="31" spans="1:27" ht="12.75" customHeight="1" x14ac:dyDescent="0.25">
      <c r="A31" s="91"/>
      <c r="B31" s="91"/>
      <c r="F31" s="789" t="s">
        <v>311</v>
      </c>
      <c r="H31" s="91"/>
      <c r="I31" s="91"/>
      <c r="J31" s="91"/>
      <c r="K31" s="91"/>
      <c r="L31" s="91"/>
      <c r="M31" s="91"/>
      <c r="N31" s="91"/>
      <c r="O31" s="91"/>
      <c r="Q31" s="67" t="s">
        <v>16</v>
      </c>
      <c r="S31" s="1755" t="str">
        <f>IF(S116="Y", S117, "NA")</f>
        <v>NA</v>
      </c>
      <c r="T31" s="1756"/>
      <c r="U31" s="1757"/>
      <c r="V31" s="1848" t="str">
        <f>IF(V116="Y", V117, "NA")</f>
        <v>NA</v>
      </c>
      <c r="W31" s="1849"/>
      <c r="X31" s="1850"/>
      <c r="Z31" s="799"/>
    </row>
    <row r="32" spans="1:27" ht="12.75" customHeight="1" x14ac:dyDescent="0.25">
      <c r="A32" s="91"/>
      <c r="B32" s="91"/>
      <c r="F32" s="789" t="s">
        <v>298</v>
      </c>
      <c r="H32" s="91"/>
      <c r="I32" s="91"/>
      <c r="J32" s="91"/>
      <c r="K32" s="91"/>
      <c r="L32" s="91"/>
      <c r="M32" s="91"/>
      <c r="N32" s="91"/>
      <c r="O32" s="91"/>
      <c r="Q32" s="67" t="s">
        <v>16</v>
      </c>
      <c r="S32" s="1755" t="str">
        <f>IF(S118="Y", S119, "NA")</f>
        <v>NA</v>
      </c>
      <c r="T32" s="1756"/>
      <c r="U32" s="1757"/>
      <c r="V32" s="1848" t="str">
        <f>IF(V118="Y",V119, "NA")</f>
        <v>NA</v>
      </c>
      <c r="W32" s="1849"/>
      <c r="X32" s="1850"/>
    </row>
    <row r="33" spans="1:27" ht="12.75" customHeight="1" x14ac:dyDescent="0.25">
      <c r="A33" s="91"/>
      <c r="B33" s="91"/>
      <c r="C33" s="182"/>
      <c r="D33" s="182"/>
      <c r="F33" s="181" t="s">
        <v>299</v>
      </c>
      <c r="H33" s="146"/>
      <c r="I33" s="146"/>
      <c r="J33" s="146"/>
      <c r="K33" s="146"/>
      <c r="L33" s="146"/>
      <c r="M33" s="146"/>
      <c r="N33" s="146"/>
      <c r="O33" s="146"/>
      <c r="P33" s="182"/>
      <c r="Q33" s="835" t="s">
        <v>16</v>
      </c>
      <c r="S33" s="1758">
        <f>IF(S29=0,0,1-(SUM(S31,S32)))</f>
        <v>0</v>
      </c>
      <c r="T33" s="1759"/>
      <c r="U33" s="1760"/>
      <c r="V33" s="1848">
        <f>IF(V29=0,0,1-(SUM(V31,V32)))</f>
        <v>0</v>
      </c>
      <c r="W33" s="1849"/>
      <c r="X33" s="1850"/>
    </row>
    <row r="34" spans="1:27" ht="12.75" customHeight="1" x14ac:dyDescent="0.25">
      <c r="C34" s="56"/>
      <c r="F34" s="91"/>
      <c r="Q34" s="68"/>
      <c r="S34" s="1670"/>
      <c r="T34" s="1671"/>
      <c r="U34" s="1672"/>
      <c r="V34" s="1719"/>
      <c r="W34" s="1720"/>
      <c r="X34" s="1721"/>
    </row>
    <row r="35" spans="1:27" ht="12.75" customHeight="1" x14ac:dyDescent="0.25">
      <c r="C35" s="56" t="s">
        <v>53</v>
      </c>
      <c r="F35" s="91"/>
      <c r="S35" s="1670"/>
      <c r="T35" s="1671"/>
      <c r="U35" s="1672"/>
      <c r="V35" s="1719"/>
      <c r="W35" s="1720"/>
      <c r="X35" s="1721"/>
    </row>
    <row r="36" spans="1:27" ht="12.75" customHeight="1" x14ac:dyDescent="0.25">
      <c r="D36" s="57" t="s">
        <v>4</v>
      </c>
      <c r="Q36" s="68" t="s">
        <v>16</v>
      </c>
      <c r="S36" s="1673"/>
      <c r="T36" s="1674"/>
      <c r="U36" s="1675"/>
      <c r="V36" s="1761">
        <f>IF(AND(S36&gt;0, V56="Risk Waterfall"), S36+V136+V147,V63)</f>
        <v>0</v>
      </c>
      <c r="W36" s="1762"/>
      <c r="X36" s="1763"/>
    </row>
    <row r="37" spans="1:27" ht="12.75" customHeight="1" x14ac:dyDescent="0.25">
      <c r="D37" s="57" t="s">
        <v>54</v>
      </c>
      <c r="S37" s="1670"/>
      <c r="T37" s="1671"/>
      <c r="U37" s="1672"/>
      <c r="V37" s="1764"/>
      <c r="W37" s="1765"/>
      <c r="X37" s="1766"/>
      <c r="Z37" s="799"/>
      <c r="AA37" s="836"/>
    </row>
    <row r="38" spans="1:27" ht="12.75" customHeight="1" x14ac:dyDescent="0.25">
      <c r="E38" s="789" t="s">
        <v>311</v>
      </c>
      <c r="Q38" s="68" t="s">
        <v>16</v>
      </c>
      <c r="S38" s="1842" t="str">
        <f>IF(S116="Y", S177,"NA")</f>
        <v>NA</v>
      </c>
      <c r="T38" s="1843"/>
      <c r="U38" s="1844"/>
      <c r="V38" s="1764" t="str">
        <f>IF(OR(V31="NA", V31=0),"NA",IF(V57="Risk Waterfall",W74,V65))</f>
        <v>NA</v>
      </c>
      <c r="W38" s="1765"/>
      <c r="X38" s="1766"/>
      <c r="Y38" s="91"/>
    </row>
    <row r="39" spans="1:27" ht="12.75" customHeight="1" x14ac:dyDescent="0.25">
      <c r="E39" s="789" t="s">
        <v>298</v>
      </c>
      <c r="Q39" s="68" t="s">
        <v>16</v>
      </c>
      <c r="S39" s="1842" t="str">
        <f>IF(S118="Y", S181,"NA")</f>
        <v>NA</v>
      </c>
      <c r="T39" s="1843"/>
      <c r="U39" s="1844"/>
      <c r="V39" s="1764" t="str">
        <f>IF(OR(V32="NA", V32=0),"NA",IF(V58="Risk Waterfall",X74,V66))</f>
        <v>NA</v>
      </c>
      <c r="W39" s="1765"/>
      <c r="X39" s="1766"/>
      <c r="Y39" s="91"/>
    </row>
    <row r="40" spans="1:27" ht="12.75" customHeight="1" x14ac:dyDescent="0.25">
      <c r="E40" s="181" t="s">
        <v>299</v>
      </c>
      <c r="Q40" s="68" t="s">
        <v>16</v>
      </c>
      <c r="S40" s="1673"/>
      <c r="T40" s="1674"/>
      <c r="U40" s="1675"/>
      <c r="V40" s="1764" t="str">
        <f>IF(OR(V33="NA",V33=0),"NA",IF(V59="Risk Waterfall",Y74,V67))</f>
        <v>NA</v>
      </c>
      <c r="W40" s="1765"/>
      <c r="X40" s="1766"/>
      <c r="Y40" s="91"/>
      <c r="Z40" s="799"/>
    </row>
    <row r="41" spans="1:27" ht="12.75" customHeight="1" x14ac:dyDescent="0.25">
      <c r="R41" s="834" t="s">
        <v>397</v>
      </c>
      <c r="S41" s="1845" t="str">
        <f>IF(S33=0,"","Input commercial rate above")</f>
        <v/>
      </c>
      <c r="T41" s="1846"/>
      <c r="U41" s="1847"/>
      <c r="V41" s="1746" t="str">
        <f>IF(V33=0,"",IF(V59="Manual Entry","","Input commercial loan rate in pre-derisking"))</f>
        <v/>
      </c>
      <c r="W41" s="1747"/>
      <c r="X41" s="1748"/>
      <c r="Y41" s="91"/>
      <c r="Z41" s="91"/>
      <c r="AA41" s="91"/>
    </row>
    <row r="42" spans="1:27" ht="12.75" customHeight="1" x14ac:dyDescent="0.25">
      <c r="C42" s="56" t="s">
        <v>29</v>
      </c>
      <c r="S42" s="1670"/>
      <c r="T42" s="1671"/>
      <c r="U42" s="1672"/>
      <c r="V42" s="1719"/>
      <c r="W42" s="1720"/>
      <c r="X42" s="1721"/>
      <c r="Y42" s="91"/>
    </row>
    <row r="43" spans="1:27" ht="12.75" customHeight="1" x14ac:dyDescent="0.25">
      <c r="D43" s="789" t="s">
        <v>311</v>
      </c>
      <c r="Q43" s="68" t="s">
        <v>20</v>
      </c>
      <c r="S43" s="1824" t="str">
        <f>IF(S116="Y", S178, "NA")</f>
        <v>NA</v>
      </c>
      <c r="T43" s="1825"/>
      <c r="U43" s="1826"/>
      <c r="V43" s="1749" t="str">
        <f>IF('III. Inputs, Renewable Energy'!$V$116="Y", 'III. Inputs, Renewable Energy'!V178, "NA")</f>
        <v>NA</v>
      </c>
      <c r="W43" s="1750"/>
      <c r="X43" s="1751"/>
      <c r="Y43" s="91"/>
    </row>
    <row r="44" spans="1:27" ht="12.75" customHeight="1" x14ac:dyDescent="0.25">
      <c r="D44" s="789" t="s">
        <v>298</v>
      </c>
      <c r="Q44" s="68" t="s">
        <v>20</v>
      </c>
      <c r="S44" s="1824" t="str">
        <f>IF(S118="Y", S182,"NA")</f>
        <v>NA</v>
      </c>
      <c r="T44" s="1825"/>
      <c r="U44" s="1826"/>
      <c r="V44" s="1749" t="str">
        <f>IF('III. Inputs, Renewable Energy'!$V$118="Y", 'III. Inputs, Renewable Energy'!V182, "NA")</f>
        <v>NA</v>
      </c>
      <c r="W44" s="1750"/>
      <c r="X44" s="1751"/>
      <c r="Y44" s="91"/>
    </row>
    <row r="45" spans="1:27" ht="12.75" customHeight="1" x14ac:dyDescent="0.25">
      <c r="D45" s="181" t="s">
        <v>299</v>
      </c>
      <c r="Q45" s="68" t="s">
        <v>20</v>
      </c>
      <c r="S45" s="1752"/>
      <c r="T45" s="1753"/>
      <c r="U45" s="1754"/>
      <c r="V45" s="1679">
        <v>12</v>
      </c>
      <c r="W45" s="1680"/>
      <c r="X45" s="1681"/>
      <c r="Z45" s="799" t="s">
        <v>254</v>
      </c>
      <c r="AA45" s="57" t="s">
        <v>430</v>
      </c>
    </row>
    <row r="46" spans="1:27" ht="12.75" customHeight="1" x14ac:dyDescent="0.25">
      <c r="Q46" s="68"/>
      <c r="S46" s="1670"/>
      <c r="T46" s="1671"/>
      <c r="U46" s="1672"/>
      <c r="V46" s="1770"/>
      <c r="W46" s="1771"/>
      <c r="X46" s="1772"/>
    </row>
    <row r="47" spans="1:27" ht="12.75" customHeight="1" x14ac:dyDescent="0.25">
      <c r="C47" s="56" t="s">
        <v>348</v>
      </c>
      <c r="Q47" s="68"/>
      <c r="S47" s="1670"/>
      <c r="T47" s="1671"/>
      <c r="U47" s="1672"/>
      <c r="V47" s="1770"/>
      <c r="W47" s="1771"/>
      <c r="X47" s="1772"/>
    </row>
    <row r="48" spans="1:27" ht="12.75" customHeight="1" x14ac:dyDescent="0.25">
      <c r="D48" s="789" t="s">
        <v>311</v>
      </c>
      <c r="Q48" s="68" t="s">
        <v>30</v>
      </c>
      <c r="S48" s="1824" t="str">
        <f>IF(S116="Y", S179,"NA")</f>
        <v>NA</v>
      </c>
      <c r="T48" s="1825"/>
      <c r="U48" s="1826"/>
      <c r="V48" s="1749" t="str">
        <f>IF(V116="Y", V179,"NA")</f>
        <v>NA</v>
      </c>
      <c r="W48" s="1750"/>
      <c r="X48" s="1751"/>
    </row>
    <row r="49" spans="2:27" ht="12.75" customHeight="1" x14ac:dyDescent="0.25">
      <c r="D49" s="789" t="s">
        <v>298</v>
      </c>
      <c r="Q49" s="68" t="s">
        <v>30</v>
      </c>
      <c r="S49" s="1824" t="str">
        <f>IF(S118="y", S183,"NA")</f>
        <v>NA</v>
      </c>
      <c r="T49" s="1825"/>
      <c r="U49" s="1826"/>
      <c r="V49" s="1749" t="str">
        <f>IF(V118="y",V183,"NA")</f>
        <v>NA</v>
      </c>
      <c r="W49" s="1750"/>
      <c r="X49" s="1751"/>
    </row>
    <row r="50" spans="2:27" ht="12.75" customHeight="1" x14ac:dyDescent="0.25">
      <c r="D50" s="181" t="s">
        <v>299</v>
      </c>
      <c r="Q50" s="68" t="s">
        <v>30</v>
      </c>
      <c r="S50" s="1818">
        <v>0</v>
      </c>
      <c r="T50" s="1819"/>
      <c r="U50" s="1820"/>
      <c r="V50" s="1676">
        <v>0</v>
      </c>
      <c r="W50" s="1677"/>
      <c r="X50" s="1678"/>
      <c r="Z50" s="837"/>
    </row>
    <row r="51" spans="2:27" ht="12.75" customHeight="1" x14ac:dyDescent="0.25"/>
    <row r="52" spans="2:27" ht="12.75" customHeight="1" x14ac:dyDescent="0.25">
      <c r="B52" s="832" t="s">
        <v>428</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row>
    <row r="53" spans="2:27" ht="12.75" customHeight="1" x14ac:dyDescent="0.25"/>
    <row r="54" spans="2:27" s="182" customFormat="1" ht="12.75" customHeight="1" x14ac:dyDescent="0.25">
      <c r="D54" s="838"/>
      <c r="V54" s="1688" t="s">
        <v>201</v>
      </c>
      <c r="W54" s="1689"/>
      <c r="X54" s="1690"/>
    </row>
    <row r="55" spans="2:27" ht="12.75" customHeight="1" x14ac:dyDescent="0.25">
      <c r="C55" s="57" t="s">
        <v>429</v>
      </c>
      <c r="V55" s="1767"/>
      <c r="W55" s="1768"/>
      <c r="X55" s="1769"/>
      <c r="Z55" s="799" t="s">
        <v>254</v>
      </c>
      <c r="AA55" s="57" t="s">
        <v>504</v>
      </c>
    </row>
    <row r="56" spans="2:27" ht="12.75" customHeight="1" x14ac:dyDescent="0.25">
      <c r="D56" s="57" t="s">
        <v>4</v>
      </c>
      <c r="V56" s="1664" t="s">
        <v>250</v>
      </c>
      <c r="W56" s="1665"/>
      <c r="X56" s="1666"/>
      <c r="Z56" s="799"/>
      <c r="AA56" s="57" t="s">
        <v>402</v>
      </c>
    </row>
    <row r="57" spans="2:27" ht="12.75" customHeight="1" x14ac:dyDescent="0.25">
      <c r="D57" s="57" t="s">
        <v>398</v>
      </c>
      <c r="V57" s="1664" t="s">
        <v>250</v>
      </c>
      <c r="W57" s="1665"/>
      <c r="X57" s="1666"/>
      <c r="Z57" s="799"/>
      <c r="AA57" s="57" t="s">
        <v>401</v>
      </c>
    </row>
    <row r="58" spans="2:27" ht="12.75" customHeight="1" x14ac:dyDescent="0.25">
      <c r="D58" s="57" t="s">
        <v>399</v>
      </c>
      <c r="V58" s="1664" t="s">
        <v>250</v>
      </c>
      <c r="W58" s="1665"/>
      <c r="X58" s="1666"/>
      <c r="Z58" s="799"/>
    </row>
    <row r="59" spans="2:27" ht="12.75" customHeight="1" x14ac:dyDescent="0.25">
      <c r="D59" s="57" t="s">
        <v>400</v>
      </c>
      <c r="V59" s="1664" t="s">
        <v>250</v>
      </c>
      <c r="W59" s="1665"/>
      <c r="X59" s="1666"/>
      <c r="Z59" s="799"/>
    </row>
    <row r="60" spans="2:27" ht="12.75" customHeight="1" x14ac:dyDescent="0.25">
      <c r="V60" s="1719"/>
      <c r="W60" s="1720"/>
      <c r="X60" s="1721"/>
    </row>
    <row r="61" spans="2:27" ht="12.75" customHeight="1" x14ac:dyDescent="0.25">
      <c r="C61" s="57" t="s">
        <v>251</v>
      </c>
      <c r="V61" s="1719"/>
      <c r="W61" s="1720"/>
      <c r="X61" s="1721"/>
    </row>
    <row r="62" spans="2:27" ht="12.75" customHeight="1" x14ac:dyDescent="0.25">
      <c r="D62" s="56" t="s">
        <v>53</v>
      </c>
      <c r="K62" s="91"/>
      <c r="V62" s="1782"/>
      <c r="W62" s="1783"/>
      <c r="X62" s="1784"/>
    </row>
    <row r="63" spans="2:27" ht="12.75" customHeight="1" x14ac:dyDescent="0.25">
      <c r="E63" s="57" t="s">
        <v>4</v>
      </c>
      <c r="Q63" s="68" t="s">
        <v>16</v>
      </c>
      <c r="V63" s="1722">
        <v>0</v>
      </c>
      <c r="W63" s="1723"/>
      <c r="X63" s="1724"/>
    </row>
    <row r="64" spans="2:27" ht="12.75" customHeight="1" x14ac:dyDescent="0.25">
      <c r="E64" s="57" t="s">
        <v>54</v>
      </c>
      <c r="V64" s="1782"/>
      <c r="W64" s="1783"/>
      <c r="X64" s="1784"/>
      <c r="Y64" s="91"/>
      <c r="Z64" s="799"/>
    </row>
    <row r="65" spans="2:27" ht="12.75" customHeight="1" x14ac:dyDescent="0.25">
      <c r="F65" s="789" t="s">
        <v>221</v>
      </c>
      <c r="I65" s="789"/>
      <c r="J65" s="789"/>
      <c r="Q65" s="68" t="s">
        <v>16</v>
      </c>
      <c r="V65" s="1722">
        <v>0</v>
      </c>
      <c r="W65" s="1723"/>
      <c r="X65" s="1724"/>
      <c r="Y65" s="91"/>
    </row>
    <row r="66" spans="2:27" ht="12.75" customHeight="1" x14ac:dyDescent="0.25">
      <c r="F66" s="789" t="s">
        <v>345</v>
      </c>
      <c r="I66" s="789"/>
      <c r="J66" s="789"/>
      <c r="Q66" s="68" t="s">
        <v>16</v>
      </c>
      <c r="V66" s="1722">
        <v>0</v>
      </c>
      <c r="W66" s="1723"/>
      <c r="X66" s="1724"/>
      <c r="Y66" s="91"/>
    </row>
    <row r="67" spans="2:27" ht="12.75" customHeight="1" x14ac:dyDescent="0.25">
      <c r="F67" s="181" t="s">
        <v>346</v>
      </c>
      <c r="I67" s="181"/>
      <c r="J67" s="181"/>
      <c r="Q67" s="68" t="s">
        <v>16</v>
      </c>
      <c r="V67" s="1791">
        <v>0</v>
      </c>
      <c r="W67" s="1792"/>
      <c r="X67" s="1793"/>
      <c r="Y67" s="91"/>
    </row>
    <row r="68" spans="2:27" ht="12.75" customHeight="1" x14ac:dyDescent="0.25"/>
    <row r="69" spans="2:27" ht="12.75" customHeight="1" x14ac:dyDescent="0.25">
      <c r="B69" s="832" t="s">
        <v>241</v>
      </c>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row>
    <row r="70" spans="2:27" ht="12.75" customHeight="1" x14ac:dyDescent="0.25">
      <c r="AA70" s="833"/>
    </row>
    <row r="71" spans="2:27" ht="12.75" customHeight="1" x14ac:dyDescent="0.25">
      <c r="R71" s="1743" t="s">
        <v>200</v>
      </c>
      <c r="S71" s="1744"/>
      <c r="T71" s="1744"/>
      <c r="U71" s="1745"/>
      <c r="V71" s="1788" t="s">
        <v>201</v>
      </c>
      <c r="W71" s="1789"/>
      <c r="X71" s="1789"/>
      <c r="Y71" s="1790"/>
    </row>
    <row r="72" spans="2:27" ht="12.75" customHeight="1" x14ac:dyDescent="0.25">
      <c r="R72" s="1785" t="s">
        <v>229</v>
      </c>
      <c r="S72" s="1786"/>
      <c r="T72" s="1786"/>
      <c r="U72" s="1787"/>
      <c r="V72" s="1667" t="s">
        <v>229</v>
      </c>
      <c r="W72" s="1668"/>
      <c r="X72" s="1668"/>
      <c r="Y72" s="1669"/>
    </row>
    <row r="73" spans="2:27" s="67" customFormat="1" ht="39.6" x14ac:dyDescent="0.3">
      <c r="D73" s="839" t="s">
        <v>78</v>
      </c>
      <c r="E73" s="840"/>
      <c r="F73" s="840"/>
      <c r="G73" s="840"/>
      <c r="H73" s="840"/>
      <c r="I73" s="840"/>
      <c r="J73" s="840"/>
      <c r="K73" s="840"/>
      <c r="L73" s="840"/>
      <c r="M73" s="840"/>
      <c r="N73" s="840"/>
      <c r="O73" s="840"/>
      <c r="P73" s="840"/>
      <c r="Q73" s="841"/>
      <c r="R73" s="842" t="s">
        <v>227</v>
      </c>
      <c r="S73" s="842" t="s">
        <v>218</v>
      </c>
      <c r="T73" s="843" t="s">
        <v>226</v>
      </c>
      <c r="U73" s="844" t="s">
        <v>225</v>
      </c>
      <c r="V73" s="845" t="s">
        <v>227</v>
      </c>
      <c r="W73" s="845" t="s">
        <v>218</v>
      </c>
      <c r="X73" s="846" t="s">
        <v>226</v>
      </c>
      <c r="Y73" s="847" t="s">
        <v>225</v>
      </c>
    </row>
    <row r="74" spans="2:27" x14ac:dyDescent="0.25">
      <c r="D74" s="848" t="s">
        <v>151</v>
      </c>
      <c r="F74" s="182"/>
      <c r="Q74" s="68" t="s">
        <v>16</v>
      </c>
      <c r="R74" s="849">
        <f>S36</f>
        <v>0</v>
      </c>
      <c r="S74" s="850" t="str">
        <f>IF(S177=0, "NA", S177)</f>
        <v>NA</v>
      </c>
      <c r="T74" s="851" t="str">
        <f>IF(S181=0,"NA",S181)</f>
        <v>NA</v>
      </c>
      <c r="U74" s="852" t="str">
        <f>IF(S40=0, "NA", S40)</f>
        <v>NA</v>
      </c>
      <c r="V74" s="853">
        <f>R74-(R92-V92)</f>
        <v>0</v>
      </c>
      <c r="W74" s="853" t="str">
        <f>IF(S74="NA","NA",SUM(S74)-(S92-W92))</f>
        <v>NA</v>
      </c>
      <c r="X74" s="854" t="str">
        <f>IF(T74="NA","NA",SUM(T74)-(T92-X92))</f>
        <v>NA</v>
      </c>
      <c r="Y74" s="855" t="str">
        <f>IF(U74="NA","NA",SUM(U74)-(U92-Y92))</f>
        <v>NA</v>
      </c>
    </row>
    <row r="75" spans="2:27" x14ac:dyDescent="0.25">
      <c r="D75" s="856" t="s">
        <v>238</v>
      </c>
      <c r="E75" s="857"/>
      <c r="F75" s="857"/>
      <c r="G75" s="857"/>
      <c r="H75" s="857"/>
      <c r="I75" s="857"/>
      <c r="J75" s="857"/>
      <c r="K75" s="857"/>
      <c r="L75" s="857"/>
      <c r="M75" s="857"/>
      <c r="N75" s="857"/>
      <c r="O75" s="857"/>
      <c r="P75" s="857"/>
      <c r="Q75" s="858" t="s">
        <v>16</v>
      </c>
      <c r="R75" s="970">
        <v>0.1</v>
      </c>
      <c r="S75" s="970">
        <v>0</v>
      </c>
      <c r="T75" s="971">
        <v>0</v>
      </c>
      <c r="U75" s="972">
        <v>0.05</v>
      </c>
      <c r="V75" s="859">
        <f>$R$75</f>
        <v>0.1</v>
      </c>
      <c r="W75" s="859">
        <f>$S$75</f>
        <v>0</v>
      </c>
      <c r="X75" s="860">
        <f>$T$75</f>
        <v>0</v>
      </c>
      <c r="Y75" s="861">
        <f>$U$75</f>
        <v>0.05</v>
      </c>
    </row>
    <row r="76" spans="2:27" x14ac:dyDescent="0.25">
      <c r="D76" s="56" t="s">
        <v>80</v>
      </c>
      <c r="E76" s="56"/>
      <c r="F76" s="56"/>
      <c r="Q76" s="68" t="s">
        <v>16</v>
      </c>
      <c r="R76" s="862">
        <f t="shared" ref="R76:Y76" si="0">IF(R74="NA", "NA", SUM(R74)-R75)</f>
        <v>-0.1</v>
      </c>
      <c r="S76" s="862" t="str">
        <f t="shared" si="0"/>
        <v>NA</v>
      </c>
      <c r="T76" s="863" t="str">
        <f t="shared" si="0"/>
        <v>NA</v>
      </c>
      <c r="U76" s="863" t="str">
        <f t="shared" si="0"/>
        <v>NA</v>
      </c>
      <c r="V76" s="864">
        <f t="shared" si="0"/>
        <v>-0.1</v>
      </c>
      <c r="W76" s="864" t="str">
        <f t="shared" si="0"/>
        <v>NA</v>
      </c>
      <c r="X76" s="865" t="str">
        <f t="shared" si="0"/>
        <v>NA</v>
      </c>
      <c r="Y76" s="866" t="str">
        <f t="shared" si="0"/>
        <v>NA</v>
      </c>
    </row>
    <row r="77" spans="2:27" x14ac:dyDescent="0.25"/>
    <row r="78" spans="2:27" x14ac:dyDescent="0.25"/>
    <row r="79" spans="2:27" x14ac:dyDescent="0.25"/>
    <row r="80" spans="2:27" x14ac:dyDescent="0.25">
      <c r="R80" s="1743" t="s">
        <v>200</v>
      </c>
      <c r="S80" s="1744"/>
      <c r="T80" s="1744"/>
      <c r="U80" s="1745"/>
      <c r="V80" s="1788" t="s">
        <v>201</v>
      </c>
      <c r="W80" s="1789"/>
      <c r="X80" s="1789"/>
      <c r="Y80" s="1790"/>
    </row>
    <row r="81" spans="1:32" x14ac:dyDescent="0.25">
      <c r="R81" s="1785" t="s">
        <v>229</v>
      </c>
      <c r="S81" s="1786"/>
      <c r="T81" s="1786"/>
      <c r="U81" s="1787"/>
      <c r="V81" s="1667" t="s">
        <v>229</v>
      </c>
      <c r="W81" s="1668"/>
      <c r="X81" s="1668"/>
      <c r="Y81" s="1669"/>
    </row>
    <row r="82" spans="1:32" s="59" customFormat="1" ht="48" customHeight="1" x14ac:dyDescent="0.25">
      <c r="D82" s="867" t="s">
        <v>230</v>
      </c>
      <c r="E82" s="868"/>
      <c r="F82" s="55"/>
      <c r="G82" s="868"/>
      <c r="H82" s="868"/>
      <c r="I82" s="868"/>
      <c r="J82" s="868"/>
      <c r="K82" s="868"/>
      <c r="L82" s="868"/>
      <c r="M82" s="868"/>
      <c r="N82" s="868"/>
      <c r="O82" s="868"/>
      <c r="P82" s="868"/>
      <c r="Q82" s="869"/>
      <c r="R82" s="842" t="s">
        <v>227</v>
      </c>
      <c r="S82" s="842" t="s">
        <v>218</v>
      </c>
      <c r="T82" s="843" t="s">
        <v>226</v>
      </c>
      <c r="U82" s="844" t="s">
        <v>225</v>
      </c>
      <c r="V82" s="845" t="str">
        <f>$V$73</f>
        <v>Equity</v>
      </c>
      <c r="W82" s="845" t="str">
        <f>W73</f>
        <v>Public Loan</v>
      </c>
      <c r="X82" s="846" t="str">
        <f>$X$73</f>
        <v>Commercial Loan with Guarantees</v>
      </c>
      <c r="Y82" s="847" t="str">
        <f>$Y$73</f>
        <v>Commercial Loan w/out Guarantees</v>
      </c>
      <c r="Z82" s="799"/>
      <c r="AA82" s="836"/>
    </row>
    <row r="83" spans="1:32" x14ac:dyDescent="0.25">
      <c r="D83" s="1089" t="s">
        <v>49</v>
      </c>
      <c r="Q83" s="68" t="s">
        <v>16</v>
      </c>
      <c r="R83" s="973">
        <v>1.2E-2</v>
      </c>
      <c r="S83" s="973">
        <v>0</v>
      </c>
      <c r="T83" s="974">
        <v>0</v>
      </c>
      <c r="U83" s="975">
        <v>0.01</v>
      </c>
      <c r="V83" s="871">
        <f t="shared" ref="V83:Y86" si="1">IF(R83="NA", "NA", (SUM(R83)+V129))</f>
        <v>1.2E-2</v>
      </c>
      <c r="W83" s="871">
        <f t="shared" si="1"/>
        <v>0</v>
      </c>
      <c r="X83" s="871">
        <f t="shared" si="1"/>
        <v>0</v>
      </c>
      <c r="Y83" s="871">
        <f t="shared" si="1"/>
        <v>0.01</v>
      </c>
      <c r="Z83" s="799" t="s">
        <v>254</v>
      </c>
      <c r="AA83" s="57" t="s">
        <v>252</v>
      </c>
    </row>
    <row r="84" spans="1:32" x14ac:dyDescent="0.25">
      <c r="D84" s="1089" t="s">
        <v>191</v>
      </c>
      <c r="Q84" s="68" t="s">
        <v>16</v>
      </c>
      <c r="R84" s="973">
        <v>8.0000000000000002E-3</v>
      </c>
      <c r="S84" s="976" t="s">
        <v>231</v>
      </c>
      <c r="T84" s="977" t="s">
        <v>231</v>
      </c>
      <c r="U84" s="978" t="s">
        <v>231</v>
      </c>
      <c r="V84" s="874">
        <f t="shared" si="1"/>
        <v>8.0000000000000002E-3</v>
      </c>
      <c r="W84" s="874" t="str">
        <f t="shared" si="1"/>
        <v>NA</v>
      </c>
      <c r="X84" s="874" t="str">
        <f t="shared" si="1"/>
        <v>NA</v>
      </c>
      <c r="Y84" s="874" t="str">
        <f t="shared" si="1"/>
        <v>NA</v>
      </c>
      <c r="AA84" s="57" t="s">
        <v>253</v>
      </c>
    </row>
    <row r="85" spans="1:32" x14ac:dyDescent="0.25">
      <c r="D85" s="1089" t="s">
        <v>0</v>
      </c>
      <c r="Q85" s="68" t="s">
        <v>16</v>
      </c>
      <c r="R85" s="973">
        <v>5.0000000000000001E-3</v>
      </c>
      <c r="S85" s="973">
        <v>0</v>
      </c>
      <c r="T85" s="979">
        <v>0</v>
      </c>
      <c r="U85" s="975">
        <v>4.0000000000000001E-3</v>
      </c>
      <c r="V85" s="874">
        <f t="shared" si="1"/>
        <v>5.0000000000000001E-3</v>
      </c>
      <c r="W85" s="874">
        <f t="shared" si="1"/>
        <v>0</v>
      </c>
      <c r="X85" s="874">
        <f t="shared" si="1"/>
        <v>0</v>
      </c>
      <c r="Y85" s="874">
        <f t="shared" si="1"/>
        <v>4.0000000000000001E-3</v>
      </c>
    </row>
    <row r="86" spans="1:32" x14ac:dyDescent="0.25">
      <c r="D86" s="1089" t="s">
        <v>48</v>
      </c>
      <c r="Q86" s="68" t="s">
        <v>16</v>
      </c>
      <c r="R86" s="973">
        <v>8.9999999999999993E-3</v>
      </c>
      <c r="S86" s="973">
        <v>0</v>
      </c>
      <c r="T86" s="979">
        <v>0</v>
      </c>
      <c r="U86" s="975">
        <v>7.0000000000000001E-3</v>
      </c>
      <c r="V86" s="874">
        <f t="shared" si="1"/>
        <v>8.9999999999999993E-3</v>
      </c>
      <c r="W86" s="874">
        <f t="shared" si="1"/>
        <v>0</v>
      </c>
      <c r="X86" s="874">
        <f t="shared" si="1"/>
        <v>0</v>
      </c>
      <c r="Y86" s="874">
        <f t="shared" si="1"/>
        <v>7.0000000000000001E-3</v>
      </c>
    </row>
    <row r="87" spans="1:32" x14ac:dyDescent="0.25">
      <c r="D87" s="1089" t="s">
        <v>434</v>
      </c>
      <c r="Q87" s="68" t="s">
        <v>16</v>
      </c>
      <c r="R87" s="973">
        <v>0.01</v>
      </c>
      <c r="S87" s="973">
        <v>0</v>
      </c>
      <c r="T87" s="979">
        <v>0</v>
      </c>
      <c r="U87" s="975">
        <v>7.0000000000000001E-3</v>
      </c>
      <c r="V87" s="874">
        <f t="shared" ref="V87:Y87" si="2">IF(R87="NA", "NA", (SUM(R87)+V133+V141))</f>
        <v>0.01</v>
      </c>
      <c r="W87" s="874">
        <f t="shared" si="2"/>
        <v>0</v>
      </c>
      <c r="X87" s="874">
        <f t="shared" si="2"/>
        <v>0</v>
      </c>
      <c r="Y87" s="874">
        <f t="shared" si="2"/>
        <v>7.0000000000000001E-3</v>
      </c>
    </row>
    <row r="88" spans="1:32" x14ac:dyDescent="0.25">
      <c r="D88" s="1089" t="s">
        <v>1</v>
      </c>
      <c r="Q88" s="68" t="s">
        <v>16</v>
      </c>
      <c r="R88" s="973">
        <v>1.2E-2</v>
      </c>
      <c r="S88" s="973">
        <v>0</v>
      </c>
      <c r="T88" s="979">
        <v>0</v>
      </c>
      <c r="U88" s="975">
        <v>0.01</v>
      </c>
      <c r="V88" s="874">
        <f>IF(R88="NA", "NA", (SUM(R88)+V134+V142))</f>
        <v>1.2E-2</v>
      </c>
      <c r="W88" s="874">
        <f>IF(S88="NA", "NA", (SUM(S88)+W134+W142))</f>
        <v>0</v>
      </c>
      <c r="X88" s="874">
        <f>IF(T88="NA", "NA", (SUM(T88)+X134+X142))</f>
        <v>0</v>
      </c>
      <c r="Y88" s="874">
        <f>IF(U88="NA", "NA", (SUM(U88)+Y134+Y142))</f>
        <v>0.01</v>
      </c>
      <c r="Z88" s="799"/>
    </row>
    <row r="89" spans="1:32" x14ac:dyDescent="0.25">
      <c r="D89" s="1089" t="s">
        <v>2</v>
      </c>
      <c r="Q89" s="68" t="s">
        <v>16</v>
      </c>
      <c r="R89" s="973">
        <v>7.0000000000000001E-3</v>
      </c>
      <c r="S89" s="976" t="s">
        <v>231</v>
      </c>
      <c r="T89" s="977" t="s">
        <v>231</v>
      </c>
      <c r="U89" s="978" t="s">
        <v>231</v>
      </c>
      <c r="V89" s="874">
        <f>IF(R89="NA", "NA", SUM(R89)+V135+V143+V144)</f>
        <v>7.0000000000000001E-3</v>
      </c>
      <c r="W89" s="874" t="str">
        <f>IF(S89="NA", "NA", SUM(S89)+W135+W143+W144)</f>
        <v>NA</v>
      </c>
      <c r="X89" s="874" t="str">
        <f>IF(T89="NA", "NA", SUM(T89)+X135+X143+X144)</f>
        <v>NA</v>
      </c>
      <c r="Y89" s="874" t="str">
        <f>IF(U89="NA", "NA", SUM(U89)+Y135+Y143+Y144)</f>
        <v>NA</v>
      </c>
    </row>
    <row r="90" spans="1:32" x14ac:dyDescent="0.25">
      <c r="D90" s="1089" t="s">
        <v>3</v>
      </c>
      <c r="Q90" s="68" t="s">
        <v>16</v>
      </c>
      <c r="R90" s="973">
        <v>1.2999999999999999E-2</v>
      </c>
      <c r="S90" s="973">
        <v>0</v>
      </c>
      <c r="T90" s="979">
        <v>0</v>
      </c>
      <c r="U90" s="975">
        <v>8.9999999999999993E-3</v>
      </c>
      <c r="V90" s="874">
        <f t="shared" ref="V90:Y91" si="3">IF(R90="NA", "NA", SUM(R90)+V145)</f>
        <v>1.2999999999999999E-2</v>
      </c>
      <c r="W90" s="874">
        <f t="shared" si="3"/>
        <v>0</v>
      </c>
      <c r="X90" s="874">
        <f t="shared" si="3"/>
        <v>0</v>
      </c>
      <c r="Y90" s="874">
        <f t="shared" si="3"/>
        <v>8.9999999999999993E-3</v>
      </c>
    </row>
    <row r="91" spans="1:32" x14ac:dyDescent="0.25">
      <c r="D91" s="1090" t="s">
        <v>431</v>
      </c>
      <c r="E91" s="857"/>
      <c r="F91" s="857"/>
      <c r="G91" s="857"/>
      <c r="H91" s="857"/>
      <c r="I91" s="857"/>
      <c r="J91" s="857"/>
      <c r="K91" s="857"/>
      <c r="L91" s="857"/>
      <c r="M91" s="857"/>
      <c r="N91" s="857"/>
      <c r="O91" s="857"/>
      <c r="P91" s="857"/>
      <c r="Q91" s="858" t="s">
        <v>16</v>
      </c>
      <c r="R91" s="980">
        <v>4.0000000000000001E-3</v>
      </c>
      <c r="S91" s="973">
        <v>0</v>
      </c>
      <c r="T91" s="979">
        <v>0</v>
      </c>
      <c r="U91" s="981">
        <v>3.0000000000000001E-3</v>
      </c>
      <c r="V91" s="877">
        <f t="shared" si="3"/>
        <v>4.0000000000000001E-3</v>
      </c>
      <c r="W91" s="877">
        <f t="shared" si="3"/>
        <v>0</v>
      </c>
      <c r="X91" s="877">
        <f t="shared" si="3"/>
        <v>0</v>
      </c>
      <c r="Y91" s="877">
        <f t="shared" si="3"/>
        <v>3.0000000000000001E-3</v>
      </c>
    </row>
    <row r="92" spans="1:32" x14ac:dyDescent="0.25">
      <c r="D92" s="56" t="s">
        <v>81</v>
      </c>
      <c r="E92" s="132"/>
      <c r="F92" s="56"/>
      <c r="R92" s="880">
        <f>IF(R76="NA","NA",SUM(R83:R91))</f>
        <v>8.0000000000000016E-2</v>
      </c>
      <c r="S92" s="881" t="str">
        <f>IF(S76="NA","NA",SUM(S83:S91))</f>
        <v>NA</v>
      </c>
      <c r="T92" s="882" t="str">
        <f>IF(T76="NA","NA",SUM(T83:T91))</f>
        <v>NA</v>
      </c>
      <c r="U92" s="883" t="str">
        <f>IF(U76="NA","NA",SUM(U83:U91))</f>
        <v>NA</v>
      </c>
      <c r="V92" s="884">
        <f>SUM(V83:V91)</f>
        <v>8.0000000000000016E-2</v>
      </c>
      <c r="W92" s="885">
        <f>SUM(W83:W91)</f>
        <v>0</v>
      </c>
      <c r="X92" s="886">
        <f>SUM(X83:X91)</f>
        <v>0</v>
      </c>
      <c r="Y92" s="887">
        <f>SUM(Y83:Y91)</f>
        <v>0.05</v>
      </c>
    </row>
    <row r="93" spans="1:32" ht="26.25" customHeight="1" x14ac:dyDescent="0.25">
      <c r="Q93" s="796" t="s">
        <v>384</v>
      </c>
      <c r="R93" s="888" t="str">
        <f>IF(AND(V56="Risk Waterfall", R92&lt;&gt;R76), "Incorrect apportioning", "")</f>
        <v>Incorrect apportioning</v>
      </c>
      <c r="S93" s="888" t="str">
        <f>IF(AND(V57="Risk Waterfall", S92&lt;&gt;S76), "Incorrect apportioning", "")</f>
        <v/>
      </c>
      <c r="T93" s="888" t="str">
        <f>IF(AND(V58="Risk Waterfall", T92&lt;&gt;T76), "Incorrect apportioning", "")</f>
        <v/>
      </c>
      <c r="U93" s="888" t="str">
        <f>IF(AND(V59="Risk Waterfall", U92&lt;&gt;U76), "Incorrect apportioning", "")</f>
        <v/>
      </c>
      <c r="Z93" s="889" t="s">
        <v>254</v>
      </c>
      <c r="AA93" s="1830" t="s">
        <v>403</v>
      </c>
      <c r="AB93" s="1831"/>
      <c r="AC93" s="1831"/>
      <c r="AD93" s="1831"/>
      <c r="AE93" s="1831"/>
      <c r="AF93" s="1831"/>
    </row>
    <row r="94" spans="1:32" x14ac:dyDescent="0.25">
      <c r="R94" s="91"/>
      <c r="S94" s="91"/>
      <c r="T94" s="890"/>
      <c r="U94" s="91"/>
    </row>
    <row r="95" spans="1:32" s="146" customFormat="1" ht="12.75" customHeight="1" x14ac:dyDescent="0.25">
      <c r="A95" s="782" t="s">
        <v>207</v>
      </c>
      <c r="B95" s="782"/>
      <c r="C95" s="782"/>
      <c r="D95" s="782"/>
      <c r="E95" s="782"/>
      <c r="F95" s="782"/>
      <c r="G95" s="782"/>
      <c r="H95" s="782"/>
      <c r="I95" s="782"/>
      <c r="J95" s="782"/>
      <c r="K95" s="782"/>
      <c r="L95" s="782"/>
      <c r="M95" s="785"/>
      <c r="N95" s="783"/>
      <c r="O95" s="783"/>
      <c r="P95" s="783"/>
      <c r="Q95" s="783"/>
      <c r="R95" s="783"/>
      <c r="S95" s="783"/>
      <c r="T95" s="783"/>
      <c r="U95" s="783"/>
      <c r="V95" s="783"/>
      <c r="W95" s="783"/>
      <c r="X95" s="783"/>
      <c r="Y95" s="783"/>
      <c r="Z95" s="783"/>
    </row>
    <row r="96" spans="1:32" x14ac:dyDescent="0.25"/>
    <row r="97" spans="2:26" ht="12.75" customHeight="1" x14ac:dyDescent="0.25">
      <c r="B97" s="55" t="s">
        <v>222</v>
      </c>
      <c r="C97" s="55"/>
      <c r="D97" s="81"/>
      <c r="E97" s="81"/>
      <c r="F97" s="81"/>
      <c r="G97" s="81"/>
      <c r="H97" s="81"/>
      <c r="I97" s="81"/>
      <c r="J97" s="81"/>
      <c r="K97" s="81"/>
      <c r="L97" s="81"/>
      <c r="M97" s="55"/>
      <c r="N97" s="55"/>
      <c r="O97" s="55"/>
      <c r="P97" s="788"/>
      <c r="Q97" s="788"/>
      <c r="R97" s="788"/>
      <c r="S97" s="788"/>
      <c r="T97" s="788"/>
      <c r="U97" s="788"/>
      <c r="V97" s="788"/>
      <c r="W97" s="788"/>
      <c r="X97" s="788"/>
      <c r="Y97" s="788"/>
      <c r="Z97" s="788"/>
    </row>
    <row r="98" spans="2:26" ht="12.75" customHeight="1" x14ac:dyDescent="0.25">
      <c r="V98" s="891"/>
      <c r="W98" s="891"/>
    </row>
    <row r="99" spans="2:26" ht="12.75" customHeight="1" x14ac:dyDescent="0.25">
      <c r="C99" s="56" t="s">
        <v>244</v>
      </c>
      <c r="V99" s="891"/>
      <c r="W99" s="891"/>
    </row>
    <row r="100" spans="2:26" ht="12.75" customHeight="1" x14ac:dyDescent="0.25">
      <c r="S100" s="1651" t="s">
        <v>242</v>
      </c>
      <c r="T100" s="1794"/>
      <c r="U100" s="1794"/>
      <c r="V100" s="1794"/>
      <c r="W100" s="1794"/>
      <c r="X100" s="1652"/>
      <c r="Y100" s="892"/>
    </row>
    <row r="101" spans="2:26" x14ac:dyDescent="0.25">
      <c r="D101" s="1712" t="s">
        <v>87</v>
      </c>
      <c r="E101" s="1713"/>
      <c r="F101" s="1713"/>
      <c r="G101" s="1713"/>
      <c r="H101" s="1713"/>
      <c r="I101" s="1713"/>
      <c r="J101" s="1713"/>
      <c r="K101" s="1713"/>
      <c r="L101" s="1713"/>
      <c r="M101" s="1713" t="s">
        <v>323</v>
      </c>
      <c r="N101" s="1715"/>
      <c r="O101" s="1715"/>
      <c r="P101" s="1715"/>
      <c r="Q101" s="1715"/>
      <c r="R101" s="893"/>
      <c r="S101" s="1716" t="s">
        <v>200</v>
      </c>
      <c r="T101" s="1717"/>
      <c r="U101" s="1717"/>
      <c r="V101" s="1688" t="s">
        <v>201</v>
      </c>
      <c r="W101" s="1689"/>
      <c r="X101" s="1690"/>
      <c r="Y101" s="894"/>
    </row>
    <row r="102" spans="2:26" ht="25.95" customHeight="1" x14ac:dyDescent="0.25">
      <c r="D102" s="1704" t="str">
        <f>$D$83</f>
        <v>Power Market Risk</v>
      </c>
      <c r="E102" s="1705"/>
      <c r="F102" s="1705"/>
      <c r="G102" s="1705"/>
      <c r="H102" s="1705"/>
      <c r="I102" s="1705"/>
      <c r="J102" s="1705"/>
      <c r="K102" s="1705"/>
      <c r="L102" s="1705"/>
      <c r="M102" s="1661" t="s">
        <v>440</v>
      </c>
      <c r="N102" s="1661"/>
      <c r="O102" s="1661"/>
      <c r="P102" s="1661"/>
      <c r="Q102" s="1661"/>
      <c r="R102" s="81"/>
      <c r="S102" s="1779" t="s">
        <v>7</v>
      </c>
      <c r="T102" s="1780"/>
      <c r="U102" s="1781"/>
      <c r="V102" s="1779" t="s">
        <v>7</v>
      </c>
      <c r="W102" s="1780"/>
      <c r="X102" s="1781"/>
    </row>
    <row r="103" spans="2:26" ht="25.95" customHeight="1" x14ac:dyDescent="0.25">
      <c r="D103" s="1704" t="str">
        <f>$D$84</f>
        <v>Permits Risk</v>
      </c>
      <c r="E103" s="1705"/>
      <c r="F103" s="1705"/>
      <c r="G103" s="1705"/>
      <c r="H103" s="1705"/>
      <c r="I103" s="1705"/>
      <c r="J103" s="1705"/>
      <c r="K103" s="1705"/>
      <c r="L103" s="1705"/>
      <c r="M103" s="1661" t="s">
        <v>394</v>
      </c>
      <c r="N103" s="1662"/>
      <c r="O103" s="1662"/>
      <c r="P103" s="1662"/>
      <c r="Q103" s="1662"/>
      <c r="R103" s="895"/>
      <c r="S103" s="1725" t="s">
        <v>7</v>
      </c>
      <c r="T103" s="1726"/>
      <c r="U103" s="1727"/>
      <c r="V103" s="1779" t="s">
        <v>7</v>
      </c>
      <c r="W103" s="1780"/>
      <c r="X103" s="1781"/>
      <c r="Y103" s="896"/>
    </row>
    <row r="104" spans="2:26" ht="25.95" customHeight="1" x14ac:dyDescent="0.25">
      <c r="D104" s="1704" t="str">
        <f>$D$85</f>
        <v>Social Acceptance Risk</v>
      </c>
      <c r="E104" s="1705"/>
      <c r="F104" s="1705"/>
      <c r="G104" s="1705"/>
      <c r="H104" s="1705"/>
      <c r="I104" s="1705"/>
      <c r="J104" s="1705"/>
      <c r="K104" s="1705"/>
      <c r="L104" s="1705"/>
      <c r="M104" s="1661" t="s">
        <v>395</v>
      </c>
      <c r="N104" s="1662"/>
      <c r="O104" s="1662"/>
      <c r="P104" s="1662"/>
      <c r="Q104" s="1662"/>
      <c r="R104" s="895"/>
      <c r="S104" s="1725" t="s">
        <v>7</v>
      </c>
      <c r="T104" s="1726"/>
      <c r="U104" s="1727"/>
      <c r="V104" s="1779" t="s">
        <v>7</v>
      </c>
      <c r="W104" s="1780"/>
      <c r="X104" s="1781"/>
      <c r="Y104" s="896"/>
    </row>
    <row r="105" spans="2:26" ht="25.95" customHeight="1" x14ac:dyDescent="0.25">
      <c r="D105" s="1699" t="str">
        <f>$D$86</f>
        <v>Resource &amp; Technology Risk</v>
      </c>
      <c r="E105" s="1697"/>
      <c r="F105" s="1697"/>
      <c r="G105" s="1697"/>
      <c r="H105" s="1697"/>
      <c r="I105" s="1697"/>
      <c r="J105" s="1697"/>
      <c r="K105" s="1697"/>
      <c r="L105" s="1697"/>
      <c r="M105" s="1706" t="s">
        <v>441</v>
      </c>
      <c r="N105" s="1662"/>
      <c r="O105" s="1662"/>
      <c r="P105" s="1662"/>
      <c r="Q105" s="1662"/>
      <c r="R105" s="895"/>
      <c r="S105" s="1725" t="s">
        <v>7</v>
      </c>
      <c r="T105" s="1726"/>
      <c r="U105" s="1727"/>
      <c r="V105" s="1779" t="s">
        <v>7</v>
      </c>
      <c r="W105" s="1780"/>
      <c r="X105" s="1781"/>
      <c r="Y105" s="896"/>
    </row>
    <row r="106" spans="2:26" ht="25.95" customHeight="1" x14ac:dyDescent="0.25">
      <c r="D106" s="1704" t="str">
        <f>$D$87</f>
        <v>Grid/Transmission Risk</v>
      </c>
      <c r="E106" s="1705"/>
      <c r="F106" s="1705"/>
      <c r="G106" s="1705"/>
      <c r="H106" s="1705"/>
      <c r="I106" s="1705"/>
      <c r="J106" s="1705"/>
      <c r="K106" s="1705"/>
      <c r="L106" s="1705"/>
      <c r="M106" s="1661" t="s">
        <v>442</v>
      </c>
      <c r="N106" s="1662"/>
      <c r="O106" s="1662"/>
      <c r="P106" s="1662"/>
      <c r="Q106" s="1662"/>
      <c r="R106" s="897"/>
      <c r="S106" s="1725" t="s">
        <v>7</v>
      </c>
      <c r="T106" s="1726"/>
      <c r="U106" s="1727"/>
      <c r="V106" s="1779" t="s">
        <v>7</v>
      </c>
      <c r="W106" s="1780"/>
      <c r="X106" s="1781"/>
      <c r="Y106" s="896"/>
    </row>
    <row r="107" spans="2:26" ht="25.95" customHeight="1" x14ac:dyDescent="0.25">
      <c r="D107" s="1704" t="str">
        <f>$D$88</f>
        <v>Counterparty Risk</v>
      </c>
      <c r="E107" s="1705"/>
      <c r="F107" s="1705"/>
      <c r="G107" s="1705"/>
      <c r="H107" s="1705"/>
      <c r="I107" s="1705"/>
      <c r="J107" s="1705"/>
      <c r="K107" s="1705"/>
      <c r="L107" s="1705"/>
      <c r="M107" s="1661" t="s">
        <v>5</v>
      </c>
      <c r="N107" s="1662"/>
      <c r="O107" s="1662"/>
      <c r="P107" s="1662"/>
      <c r="Q107" s="1662"/>
      <c r="R107" s="81"/>
      <c r="S107" s="1725" t="s">
        <v>7</v>
      </c>
      <c r="T107" s="1726"/>
      <c r="U107" s="1727"/>
      <c r="V107" s="1779" t="s">
        <v>7</v>
      </c>
      <c r="W107" s="1780"/>
      <c r="X107" s="1781"/>
    </row>
    <row r="108" spans="2:26" ht="25.95" customHeight="1" x14ac:dyDescent="0.25">
      <c r="D108" s="1704" t="str">
        <f>$D$89</f>
        <v>Financial Sector Risk</v>
      </c>
      <c r="E108" s="1705"/>
      <c r="F108" s="1705"/>
      <c r="G108" s="1705"/>
      <c r="H108" s="1705"/>
      <c r="I108" s="1705"/>
      <c r="J108" s="1705"/>
      <c r="K108" s="1705"/>
      <c r="L108" s="1705"/>
      <c r="M108" s="1661" t="s">
        <v>443</v>
      </c>
      <c r="N108" s="1662"/>
      <c r="O108" s="1662"/>
      <c r="P108" s="1662"/>
      <c r="Q108" s="1662"/>
      <c r="R108" s="81"/>
      <c r="S108" s="1725" t="s">
        <v>7</v>
      </c>
      <c r="T108" s="1726"/>
      <c r="U108" s="1727"/>
      <c r="V108" s="1779" t="s">
        <v>7</v>
      </c>
      <c r="W108" s="1780"/>
      <c r="X108" s="1781"/>
    </row>
    <row r="109" spans="2:26" ht="12.75" customHeight="1" x14ac:dyDescent="0.25"/>
    <row r="110" spans="2:26" ht="12.75" customHeight="1" x14ac:dyDescent="0.25"/>
    <row r="111" spans="2:26" ht="12.75" customHeight="1" x14ac:dyDescent="0.25">
      <c r="C111" s="56" t="s">
        <v>319</v>
      </c>
    </row>
    <row r="112" spans="2:26" ht="12.75" customHeight="1" x14ac:dyDescent="0.25">
      <c r="P112" s="181"/>
      <c r="Q112" s="182"/>
      <c r="R112" s="182"/>
      <c r="S112" s="1773" t="s">
        <v>12</v>
      </c>
      <c r="T112" s="1774"/>
      <c r="U112" s="1774"/>
      <c r="V112" s="1774"/>
      <c r="W112" s="1774"/>
      <c r="X112" s="1775"/>
    </row>
    <row r="113" spans="1:31" x14ac:dyDescent="0.25">
      <c r="D113" s="1712" t="s">
        <v>87</v>
      </c>
      <c r="E113" s="1713"/>
      <c r="F113" s="1713"/>
      <c r="G113" s="1713"/>
      <c r="H113" s="1713"/>
      <c r="I113" s="1713"/>
      <c r="J113" s="1713"/>
      <c r="K113" s="1713"/>
      <c r="L113" s="1713"/>
      <c r="M113" s="898" t="s">
        <v>323</v>
      </c>
      <c r="N113" s="898"/>
      <c r="O113" s="898"/>
      <c r="P113" s="898"/>
      <c r="Q113" s="898"/>
      <c r="R113" s="899"/>
      <c r="S113" s="1716" t="s">
        <v>200</v>
      </c>
      <c r="T113" s="1717"/>
      <c r="U113" s="1718"/>
      <c r="V113" s="1688" t="s">
        <v>201</v>
      </c>
      <c r="W113" s="1689"/>
      <c r="X113" s="1690"/>
      <c r="Y113" s="900"/>
    </row>
    <row r="114" spans="1:31" ht="26.7" customHeight="1" x14ac:dyDescent="0.25">
      <c r="D114" s="1080" t="str">
        <f>D87</f>
        <v>Grid/Transmission Risk</v>
      </c>
      <c r="E114" s="1091"/>
      <c r="F114" s="1091"/>
      <c r="G114" s="1091"/>
      <c r="H114" s="1091"/>
      <c r="I114" s="1091"/>
      <c r="J114" s="1091"/>
      <c r="K114" s="1091"/>
      <c r="L114" s="1091"/>
      <c r="M114" s="1698" t="s">
        <v>435</v>
      </c>
      <c r="N114" s="1698"/>
      <c r="O114" s="1698"/>
      <c r="P114" s="1698"/>
      <c r="Q114" s="1698"/>
      <c r="R114" s="930"/>
      <c r="S114" s="1725" t="s">
        <v>7</v>
      </c>
      <c r="T114" s="1726"/>
      <c r="U114" s="1727"/>
      <c r="V114" s="1740" t="s">
        <v>7</v>
      </c>
      <c r="W114" s="1741"/>
      <c r="X114" s="1742"/>
      <c r="Y114" s="900"/>
    </row>
    <row r="115" spans="1:31" ht="26.7" customHeight="1" x14ac:dyDescent="0.25">
      <c r="D115" s="1080" t="str">
        <f>D88</f>
        <v>Counterparty Risk</v>
      </c>
      <c r="E115" s="1091"/>
      <c r="F115" s="1091"/>
      <c r="G115" s="1091"/>
      <c r="H115" s="1091"/>
      <c r="I115" s="1091"/>
      <c r="J115" s="1091"/>
      <c r="K115" s="1091"/>
      <c r="L115" s="1091"/>
      <c r="M115" s="1698" t="s">
        <v>436</v>
      </c>
      <c r="N115" s="1698"/>
      <c r="O115" s="1698"/>
      <c r="P115" s="1698"/>
      <c r="Q115" s="1698"/>
      <c r="R115" s="930"/>
      <c r="S115" s="1725" t="s">
        <v>7</v>
      </c>
      <c r="T115" s="1726"/>
      <c r="U115" s="1727"/>
      <c r="V115" s="1740" t="s">
        <v>7</v>
      </c>
      <c r="W115" s="1741"/>
      <c r="X115" s="1742"/>
      <c r="Y115" s="900"/>
    </row>
    <row r="116" spans="1:31" x14ac:dyDescent="0.25">
      <c r="D116" s="1700" t="str">
        <f>$D$89</f>
        <v>Financial Sector Risk</v>
      </c>
      <c r="E116" s="1701"/>
      <c r="F116" s="1701"/>
      <c r="G116" s="1701"/>
      <c r="H116" s="1701"/>
      <c r="I116" s="1701"/>
      <c r="J116" s="1701"/>
      <c r="K116" s="1701"/>
      <c r="L116" s="1701"/>
      <c r="M116" s="1925" t="s">
        <v>217</v>
      </c>
      <c r="N116" s="1925"/>
      <c r="O116" s="1925"/>
      <c r="P116" s="1925"/>
      <c r="Q116" s="1925"/>
      <c r="R116" s="901"/>
      <c r="S116" s="1731" t="s">
        <v>7</v>
      </c>
      <c r="T116" s="1732"/>
      <c r="U116" s="1733"/>
      <c r="V116" s="1734" t="s">
        <v>7</v>
      </c>
      <c r="W116" s="1735"/>
      <c r="X116" s="1736"/>
      <c r="Y116" s="902"/>
    </row>
    <row r="117" spans="1:31" x14ac:dyDescent="0.25">
      <c r="D117" s="1702"/>
      <c r="E117" s="1703"/>
      <c r="F117" s="1703"/>
      <c r="G117" s="1703"/>
      <c r="H117" s="1703"/>
      <c r="I117" s="1703"/>
      <c r="J117" s="1703"/>
      <c r="K117" s="1703"/>
      <c r="L117" s="1703"/>
      <c r="M117" s="857"/>
      <c r="N117" s="1926" t="s">
        <v>445</v>
      </c>
      <c r="O117" s="1926"/>
      <c r="P117" s="1926"/>
      <c r="Q117" s="1926"/>
      <c r="R117" s="857"/>
      <c r="S117" s="1728">
        <v>0</v>
      </c>
      <c r="T117" s="1729"/>
      <c r="U117" s="1730"/>
      <c r="V117" s="1737">
        <v>0</v>
      </c>
      <c r="W117" s="1738"/>
      <c r="X117" s="1739"/>
      <c r="Y117" s="902"/>
    </row>
    <row r="118" spans="1:31" x14ac:dyDescent="0.25">
      <c r="D118" s="1700" t="str">
        <f>$D$89</f>
        <v>Financial Sector Risk</v>
      </c>
      <c r="E118" s="1701"/>
      <c r="F118" s="1701"/>
      <c r="G118" s="1701"/>
      <c r="H118" s="1701"/>
      <c r="I118" s="1701"/>
      <c r="J118" s="1701"/>
      <c r="K118" s="1701"/>
      <c r="L118" s="1701"/>
      <c r="M118" s="1925" t="s">
        <v>322</v>
      </c>
      <c r="N118" s="1925"/>
      <c r="O118" s="1925"/>
      <c r="P118" s="1925"/>
      <c r="Q118" s="1925"/>
      <c r="R118" s="901"/>
      <c r="S118" s="1731" t="s">
        <v>7</v>
      </c>
      <c r="T118" s="1732"/>
      <c r="U118" s="1733"/>
      <c r="V118" s="1734" t="s">
        <v>7</v>
      </c>
      <c r="W118" s="1735"/>
      <c r="X118" s="1736"/>
      <c r="Y118" s="902"/>
    </row>
    <row r="119" spans="1:31" x14ac:dyDescent="0.25">
      <c r="D119" s="1702"/>
      <c r="E119" s="1703"/>
      <c r="F119" s="1703"/>
      <c r="G119" s="1703"/>
      <c r="H119" s="1703"/>
      <c r="I119" s="1703"/>
      <c r="J119" s="1703"/>
      <c r="K119" s="1703"/>
      <c r="L119" s="1703"/>
      <c r="M119" s="857"/>
      <c r="N119" s="1926" t="s">
        <v>446</v>
      </c>
      <c r="O119" s="1926"/>
      <c r="P119" s="1926"/>
      <c r="Q119" s="1926"/>
      <c r="R119" s="857"/>
      <c r="S119" s="1728">
        <v>0</v>
      </c>
      <c r="T119" s="1729"/>
      <c r="U119" s="1730"/>
      <c r="V119" s="1737">
        <v>0</v>
      </c>
      <c r="W119" s="1738"/>
      <c r="X119" s="1739"/>
      <c r="Y119" s="902"/>
    </row>
    <row r="120" spans="1:31" ht="27" customHeight="1" x14ac:dyDescent="0.25">
      <c r="D120" s="1704" t="str">
        <f>$D$90</f>
        <v>Political Risk</v>
      </c>
      <c r="E120" s="1705"/>
      <c r="F120" s="1705"/>
      <c r="G120" s="1705"/>
      <c r="H120" s="1705"/>
      <c r="I120" s="1705"/>
      <c r="J120" s="1705"/>
      <c r="K120" s="1705"/>
      <c r="L120" s="1705"/>
      <c r="M120" s="1697" t="s">
        <v>88</v>
      </c>
      <c r="N120" s="1697"/>
      <c r="O120" s="1697"/>
      <c r="P120" s="1697"/>
      <c r="Q120" s="1697"/>
      <c r="R120" s="81"/>
      <c r="S120" s="1725" t="s">
        <v>7</v>
      </c>
      <c r="T120" s="1726"/>
      <c r="U120" s="1727"/>
      <c r="V120" s="1740" t="s">
        <v>7</v>
      </c>
      <c r="W120" s="1741"/>
      <c r="X120" s="1742"/>
      <c r="Y120" s="902"/>
    </row>
    <row r="121" spans="1:31" ht="27" customHeight="1" x14ac:dyDescent="0.25">
      <c r="D121" s="1699" t="str">
        <f>D91</f>
        <v>Currency/Macro Risk</v>
      </c>
      <c r="E121" s="1697"/>
      <c r="F121" s="1697"/>
      <c r="G121" s="1697"/>
      <c r="H121" s="1697"/>
      <c r="I121" s="1697"/>
      <c r="J121" s="1697"/>
      <c r="K121" s="1697"/>
      <c r="L121" s="1697"/>
      <c r="M121" s="1698" t="s">
        <v>437</v>
      </c>
      <c r="N121" s="1698"/>
      <c r="O121" s="1698"/>
      <c r="P121" s="1698"/>
      <c r="Q121" s="1698"/>
      <c r="R121" s="81"/>
      <c r="S121" s="1725" t="s">
        <v>7</v>
      </c>
      <c r="T121" s="1726"/>
      <c r="U121" s="1727"/>
      <c r="V121" s="1740" t="s">
        <v>7</v>
      </c>
      <c r="W121" s="1741"/>
      <c r="X121" s="1742"/>
      <c r="Y121" s="902"/>
    </row>
    <row r="122" spans="1:31" x14ac:dyDescent="0.25"/>
    <row r="123" spans="1:31" x14ac:dyDescent="0.25">
      <c r="G123" s="91"/>
    </row>
    <row r="124" spans="1:31" ht="18" customHeight="1" x14ac:dyDescent="0.25">
      <c r="B124" s="55" t="s">
        <v>239</v>
      </c>
      <c r="C124" s="55"/>
      <c r="D124" s="81"/>
      <c r="E124" s="81"/>
      <c r="F124" s="81"/>
      <c r="G124" s="81"/>
      <c r="H124" s="81"/>
      <c r="I124" s="81"/>
      <c r="J124" s="81"/>
      <c r="K124" s="81"/>
      <c r="L124" s="81"/>
      <c r="M124" s="55"/>
      <c r="N124" s="55"/>
      <c r="O124" s="55"/>
      <c r="P124" s="788"/>
      <c r="Q124" s="788"/>
      <c r="R124" s="788"/>
      <c r="S124" s="788"/>
      <c r="T124" s="788"/>
      <c r="U124" s="788"/>
      <c r="V124" s="788"/>
      <c r="W124" s="788"/>
      <c r="X124" s="788"/>
      <c r="Y124" s="788"/>
      <c r="Z124" s="788"/>
      <c r="AA124" s="833"/>
      <c r="AB124" s="903"/>
      <c r="AC124" s="904"/>
      <c r="AD124" s="904"/>
      <c r="AE124" s="904"/>
    </row>
    <row r="125" spans="1:31" x14ac:dyDescent="0.25">
      <c r="P125" s="160"/>
      <c r="X125" s="905"/>
      <c r="Y125" s="905"/>
      <c r="Z125" s="904"/>
      <c r="AA125" s="904"/>
      <c r="AB125" s="903"/>
      <c r="AC125" s="904"/>
      <c r="AD125" s="904"/>
      <c r="AE125" s="904"/>
    </row>
    <row r="126" spans="1:31" x14ac:dyDescent="0.25">
      <c r="C126" s="56" t="s">
        <v>244</v>
      </c>
      <c r="P126" s="160"/>
      <c r="X126" s="905"/>
      <c r="Y126" s="905"/>
      <c r="Z126" s="904"/>
      <c r="AA126" s="904"/>
      <c r="AB126" s="903"/>
      <c r="AC126" s="904"/>
      <c r="AD126" s="904"/>
      <c r="AE126" s="904"/>
    </row>
    <row r="127" spans="1:31" ht="26.25" customHeight="1" x14ac:dyDescent="0.25">
      <c r="A127" s="91"/>
      <c r="B127" s="91"/>
      <c r="C127" s="91"/>
      <c r="D127" s="91"/>
      <c r="E127" s="91"/>
      <c r="F127" s="91"/>
      <c r="G127" s="91"/>
      <c r="H127" s="91"/>
      <c r="I127" s="91"/>
      <c r="J127" s="91"/>
      <c r="K127" s="91"/>
      <c r="L127" s="91"/>
      <c r="M127" s="91"/>
      <c r="N127" s="91"/>
      <c r="O127" s="91"/>
      <c r="S127" s="1773" t="s">
        <v>82</v>
      </c>
      <c r="T127" s="1774"/>
      <c r="U127" s="1775"/>
      <c r="V127" s="1776" t="s">
        <v>237</v>
      </c>
      <c r="W127" s="1777"/>
      <c r="X127" s="1777"/>
      <c r="Y127" s="1778"/>
      <c r="Z127" s="904"/>
      <c r="AA127" s="904"/>
      <c r="AB127" s="903"/>
      <c r="AC127" s="904"/>
      <c r="AD127" s="904"/>
      <c r="AE127" s="904"/>
    </row>
    <row r="128" spans="1:31" ht="39.6" x14ac:dyDescent="0.25">
      <c r="A128" s="91"/>
      <c r="B128" s="91"/>
      <c r="C128" s="91"/>
      <c r="D128" s="1714" t="s">
        <v>87</v>
      </c>
      <c r="E128" s="1705"/>
      <c r="F128" s="1705"/>
      <c r="G128" s="1705"/>
      <c r="H128" s="1705"/>
      <c r="I128" s="1705"/>
      <c r="J128" s="1705"/>
      <c r="K128" s="1705"/>
      <c r="L128" s="1705"/>
      <c r="M128" s="1663" t="s">
        <v>324</v>
      </c>
      <c r="N128" s="1663"/>
      <c r="O128" s="1663"/>
      <c r="P128" s="1663"/>
      <c r="Q128" s="1663"/>
      <c r="R128" s="893"/>
      <c r="S128" s="906" t="s">
        <v>325</v>
      </c>
      <c r="T128" s="906" t="s">
        <v>326</v>
      </c>
      <c r="U128" s="906" t="s">
        <v>214</v>
      </c>
      <c r="V128" s="906" t="str">
        <f>$V$73</f>
        <v>Equity</v>
      </c>
      <c r="W128" s="907" t="str">
        <f>$W$73</f>
        <v>Public Loan</v>
      </c>
      <c r="X128" s="908" t="str">
        <f>$X$73</f>
        <v>Commercial Loan with Guarantees</v>
      </c>
      <c r="Y128" s="909" t="str">
        <f>$Y$73</f>
        <v>Commercial Loan w/out Guarantees</v>
      </c>
      <c r="Z128" s="910"/>
      <c r="AA128" s="848"/>
      <c r="AB128" s="903"/>
      <c r="AC128" s="904"/>
      <c r="AD128" s="904"/>
      <c r="AE128" s="904"/>
    </row>
    <row r="129" spans="1:32" ht="25.95" customHeight="1" x14ac:dyDescent="0.25">
      <c r="A129" s="91"/>
      <c r="B129" s="91"/>
      <c r="C129" s="91"/>
      <c r="D129" s="1704" t="str">
        <f>$D$83</f>
        <v>Power Market Risk</v>
      </c>
      <c r="E129" s="1705"/>
      <c r="F129" s="1705"/>
      <c r="G129" s="1705"/>
      <c r="H129" s="1705"/>
      <c r="I129" s="1705"/>
      <c r="J129" s="1705"/>
      <c r="K129" s="1705"/>
      <c r="L129" s="1705"/>
      <c r="M129" s="1697" t="str">
        <f>$M$102</f>
        <v>Long term targets; regulatory framework; standardised PPA; independent regulator</v>
      </c>
      <c r="N129" s="1697"/>
      <c r="O129" s="1697"/>
      <c r="P129" s="1697"/>
      <c r="Q129" s="1697"/>
      <c r="R129" s="893"/>
      <c r="S129" s="985">
        <v>0.5</v>
      </c>
      <c r="T129" s="985">
        <v>0.5</v>
      </c>
      <c r="U129" s="985">
        <v>0.75</v>
      </c>
      <c r="V129" s="911">
        <f t="shared" ref="V129:V135" si="4">IF(V102="Y", -(SUM(R83)*S129*(1-U129)),0)</f>
        <v>0</v>
      </c>
      <c r="W129" s="1092">
        <f>IF($V$102="Y", -(SUM(S83)*$T$129*(1-$U$129)),0)</f>
        <v>0</v>
      </c>
      <c r="X129" s="1093">
        <f>IF($V$102="Y", -(SUM(T83)*$T$129*(1-$U$129)),0)</f>
        <v>0</v>
      </c>
      <c r="Y129" s="1066">
        <f>IF($V$102="Y", -(SUM(U83)*$T$129*(1-$U$129)),0)</f>
        <v>0</v>
      </c>
      <c r="AA129" s="848"/>
      <c r="AB129" s="903"/>
      <c r="AC129" s="904"/>
      <c r="AD129" s="904"/>
      <c r="AE129" s="904"/>
    </row>
    <row r="130" spans="1:32" ht="25.95" customHeight="1" x14ac:dyDescent="0.25">
      <c r="A130" s="91"/>
      <c r="B130" s="91"/>
      <c r="C130" s="91"/>
      <c r="D130" s="1704" t="str">
        <f>$D$84</f>
        <v>Permits Risk</v>
      </c>
      <c r="E130" s="1705"/>
      <c r="F130" s="1705"/>
      <c r="G130" s="1705"/>
      <c r="H130" s="1705"/>
      <c r="I130" s="1705"/>
      <c r="J130" s="1705"/>
      <c r="K130" s="1705"/>
      <c r="L130" s="1705"/>
      <c r="M130" s="1697" t="str">
        <f>$M$103</f>
        <v>Streamlined process for permits; Establish a dedicated one-stop shop for RE permits; contract enforcement and recourse mechanisms</v>
      </c>
      <c r="N130" s="1697"/>
      <c r="O130" s="1697"/>
      <c r="P130" s="1697"/>
      <c r="Q130" s="1697"/>
      <c r="R130" s="893"/>
      <c r="S130" s="985">
        <v>0.5</v>
      </c>
      <c r="T130" s="985">
        <v>0</v>
      </c>
      <c r="U130" s="985">
        <v>0.75</v>
      </c>
      <c r="V130" s="911">
        <f t="shared" si="4"/>
        <v>0</v>
      </c>
      <c r="W130" s="1092">
        <f>IF($V$103="Y", -(SUM(S84)*$T$130*(1-$U$130)),0)</f>
        <v>0</v>
      </c>
      <c r="X130" s="1093">
        <f>IF($V$103="Y", -(SUM(T84)*$T$130*(1-$U$130)),0)</f>
        <v>0</v>
      </c>
      <c r="Y130" s="1066">
        <f>IF($V$103="Y", -(SUM(U84)*$T$130*(1-$U$130)),0)</f>
        <v>0</v>
      </c>
      <c r="Z130" s="904"/>
      <c r="AB130" s="903"/>
      <c r="AC130" s="904"/>
      <c r="AD130" s="904"/>
      <c r="AE130" s="904"/>
    </row>
    <row r="131" spans="1:32" ht="25.95" customHeight="1" x14ac:dyDescent="0.25">
      <c r="A131" s="91"/>
      <c r="B131" s="91"/>
      <c r="C131" s="91"/>
      <c r="D131" s="1704" t="str">
        <f>$D$85</f>
        <v>Social Acceptance Risk</v>
      </c>
      <c r="E131" s="1705"/>
      <c r="F131" s="1705"/>
      <c r="G131" s="1705"/>
      <c r="H131" s="1705"/>
      <c r="I131" s="1705"/>
      <c r="J131" s="1705"/>
      <c r="K131" s="1705"/>
      <c r="L131" s="1705"/>
      <c r="M131" s="1697" t="str">
        <f>$M$104</f>
        <v>Awareness-raising campaigns targeting communities and end-users; pilot models for community involvement at project sites</v>
      </c>
      <c r="N131" s="1697"/>
      <c r="O131" s="1697"/>
      <c r="P131" s="1697"/>
      <c r="Q131" s="1697"/>
      <c r="R131" s="893"/>
      <c r="S131" s="985">
        <v>0.75</v>
      </c>
      <c r="T131" s="985">
        <v>0.75</v>
      </c>
      <c r="U131" s="985">
        <v>0.75</v>
      </c>
      <c r="V131" s="911">
        <f t="shared" si="4"/>
        <v>0</v>
      </c>
      <c r="W131" s="1092">
        <f>IF($V$104="Y", -(SUM(S85)*$T$131*(1-$U$131)),0)</f>
        <v>0</v>
      </c>
      <c r="X131" s="1093">
        <f>IF($V$104="Y", -(SUM(T85)*$T$131*(1-$U$131)),0)</f>
        <v>0</v>
      </c>
      <c r="Y131" s="1066">
        <f>IF($V$104="Y", -(SUM(U85)*$T$131*(1-$U$131)),0)</f>
        <v>0</v>
      </c>
      <c r="Z131" s="904"/>
      <c r="AB131" s="903"/>
      <c r="AC131" s="904"/>
      <c r="AD131" s="904"/>
      <c r="AE131" s="904"/>
    </row>
    <row r="132" spans="1:32" ht="25.95" customHeight="1" x14ac:dyDescent="0.25">
      <c r="A132" s="91"/>
      <c r="B132" s="91"/>
      <c r="C132" s="91"/>
      <c r="D132" s="1704" t="str">
        <f>$D$86</f>
        <v>Resource &amp; Technology Risk</v>
      </c>
      <c r="E132" s="1705"/>
      <c r="F132" s="1705"/>
      <c r="G132" s="1705"/>
      <c r="H132" s="1705"/>
      <c r="I132" s="1705"/>
      <c r="J132" s="1705"/>
      <c r="K132" s="1705"/>
      <c r="L132" s="1705"/>
      <c r="M132" s="1707" t="str">
        <f>$M$105</f>
        <v>Resource assessment; Technology and O&amp;M assistance</v>
      </c>
      <c r="N132" s="1697"/>
      <c r="O132" s="1697"/>
      <c r="P132" s="1697"/>
      <c r="Q132" s="1697"/>
      <c r="R132" s="893"/>
      <c r="S132" s="987">
        <v>0.5</v>
      </c>
      <c r="T132" s="987">
        <v>0.5</v>
      </c>
      <c r="U132" s="985">
        <v>0.75</v>
      </c>
      <c r="V132" s="911">
        <f t="shared" si="4"/>
        <v>0</v>
      </c>
      <c r="W132" s="1092">
        <f>IF($V$105="Y", -(SUM(S86)*$T$132*(1-$U$132)),0)</f>
        <v>0</v>
      </c>
      <c r="X132" s="1093">
        <f>IF($V$105="Y", -(SUM(T86)*$T$132*(1-$U$132)),0)</f>
        <v>0</v>
      </c>
      <c r="Y132" s="1066">
        <f>IF($V$105="Y", -(SUM(U86)*$T$132*(1-$U$132)),0)</f>
        <v>0</v>
      </c>
      <c r="Z132" s="904"/>
      <c r="AA132" s="904"/>
      <c r="AB132" s="903"/>
      <c r="AC132" s="904"/>
      <c r="AD132" s="904"/>
      <c r="AE132" s="904"/>
    </row>
    <row r="133" spans="1:32" ht="25.95" customHeight="1" x14ac:dyDescent="0.25">
      <c r="D133" s="1704" t="str">
        <f>$D$87</f>
        <v>Grid/Transmission Risk</v>
      </c>
      <c r="E133" s="1705"/>
      <c r="F133" s="1705"/>
      <c r="G133" s="1705"/>
      <c r="H133" s="1705"/>
      <c r="I133" s="1705"/>
      <c r="J133" s="1705"/>
      <c r="K133" s="1705"/>
      <c r="L133" s="1705"/>
      <c r="M133" s="1697" t="str">
        <f>$M$106</f>
        <v>Grid code; grid management studies</v>
      </c>
      <c r="N133" s="1697"/>
      <c r="O133" s="1697"/>
      <c r="P133" s="1697"/>
      <c r="Q133" s="1697"/>
      <c r="R133" s="893"/>
      <c r="S133" s="987">
        <v>0.5</v>
      </c>
      <c r="T133" s="987">
        <v>0.5</v>
      </c>
      <c r="U133" s="985">
        <v>0.75</v>
      </c>
      <c r="V133" s="911">
        <f t="shared" si="4"/>
        <v>0</v>
      </c>
      <c r="W133" s="1092">
        <f>IF($V$106="Y", -(SUM(S87)*$T$133*(1-$U$133)),0)</f>
        <v>0</v>
      </c>
      <c r="X133" s="1093">
        <f>IF($V$106="Y", -(SUM(T87)*$T$133*(1-$U$133)),0)</f>
        <v>0</v>
      </c>
      <c r="Y133" s="1066">
        <f>IF($V$106="Y", -(SUM(U87)*$T$133*(1-$U$133)),0)</f>
        <v>0</v>
      </c>
      <c r="Z133" s="904"/>
      <c r="AA133" s="904"/>
      <c r="AB133" s="903"/>
      <c r="AC133" s="904"/>
      <c r="AD133" s="904"/>
      <c r="AE133" s="904"/>
    </row>
    <row r="134" spans="1:32" ht="25.95" customHeight="1" x14ac:dyDescent="0.25">
      <c r="D134" s="1704" t="str">
        <f>$D$88</f>
        <v>Counterparty Risk</v>
      </c>
      <c r="E134" s="1705"/>
      <c r="F134" s="1705"/>
      <c r="G134" s="1705"/>
      <c r="H134" s="1705"/>
      <c r="I134" s="1705"/>
      <c r="J134" s="1705"/>
      <c r="K134" s="1705"/>
      <c r="L134" s="1705"/>
      <c r="M134" s="1697" t="str">
        <f>$M$107</f>
        <v>Strengthening utility's management &amp; operational performance for existing operations</v>
      </c>
      <c r="N134" s="1697"/>
      <c r="O134" s="1697"/>
      <c r="P134" s="1697"/>
      <c r="Q134" s="1697"/>
      <c r="R134" s="893"/>
      <c r="S134" s="985">
        <v>0.5</v>
      </c>
      <c r="T134" s="985">
        <v>0.5</v>
      </c>
      <c r="U134" s="985">
        <v>0.75</v>
      </c>
      <c r="V134" s="911">
        <f t="shared" si="4"/>
        <v>0</v>
      </c>
      <c r="W134" s="1092">
        <f>IF($V$107="Y", -(SUM(S88)*$T$134*(1-$U$134)),0)</f>
        <v>0</v>
      </c>
      <c r="X134" s="1093">
        <f>IF($V$107="Y", -(SUM(T88)*$T$134*(1-$U$134)),0)</f>
        <v>0</v>
      </c>
      <c r="Y134" s="1066">
        <f>IF($V$107="Y", -(SUM(U88)*$T$134*(1-$U$134)),0)</f>
        <v>0</v>
      </c>
      <c r="Z134" s="904"/>
      <c r="AA134" s="904"/>
      <c r="AB134" s="903"/>
      <c r="AC134" s="904"/>
      <c r="AD134" s="904"/>
      <c r="AE134" s="904"/>
    </row>
    <row r="135" spans="1:32" ht="25.95" customHeight="1" x14ac:dyDescent="0.25">
      <c r="D135" s="1704" t="str">
        <f>$D$89</f>
        <v>Financial Sector Risk</v>
      </c>
      <c r="E135" s="1705"/>
      <c r="F135" s="1705"/>
      <c r="G135" s="1705"/>
      <c r="H135" s="1705"/>
      <c r="I135" s="1705"/>
      <c r="J135" s="1705"/>
      <c r="K135" s="1705"/>
      <c r="L135" s="1705"/>
      <c r="M135" s="1697" t="str">
        <f>$M$108</f>
        <v>Financial sector reform; strengthening investors' familiarity and assessment capacity for renewable energy</v>
      </c>
      <c r="N135" s="1697"/>
      <c r="O135" s="1697"/>
      <c r="P135" s="1697"/>
      <c r="Q135" s="1697"/>
      <c r="R135" s="893"/>
      <c r="S135" s="985">
        <v>0.5</v>
      </c>
      <c r="T135" s="985">
        <v>0</v>
      </c>
      <c r="U135" s="985">
        <v>0.75</v>
      </c>
      <c r="V135" s="911">
        <f t="shared" si="4"/>
        <v>0</v>
      </c>
      <c r="W135" s="1092">
        <f>IF($V$108="Y", -(SUM(S89)*$T$135*(1-$U$135)),0)</f>
        <v>0</v>
      </c>
      <c r="X135" s="1093">
        <f>IF($V$108="Y", -(SUM(T89)*$T$135*(1-$U$135)),0)</f>
        <v>0</v>
      </c>
      <c r="Y135" s="1066">
        <f>IF($V$108="Y", -(SUM(U89)*$T$135*(1-$U$135)),0)</f>
        <v>0</v>
      </c>
      <c r="Z135" s="904"/>
      <c r="AA135" s="904"/>
      <c r="AB135" s="903"/>
      <c r="AC135" s="904"/>
      <c r="AD135" s="904"/>
      <c r="AE135" s="904"/>
    </row>
    <row r="136" spans="1:32" ht="27" customHeight="1" x14ac:dyDescent="0.25">
      <c r="D136" s="1714" t="s">
        <v>243</v>
      </c>
      <c r="E136" s="1663"/>
      <c r="F136" s="1663"/>
      <c r="G136" s="1663"/>
      <c r="H136" s="1663"/>
      <c r="I136" s="1663"/>
      <c r="J136" s="1663"/>
      <c r="K136" s="1663"/>
      <c r="L136" s="1663"/>
      <c r="M136" s="81"/>
      <c r="N136" s="81"/>
      <c r="O136" s="81"/>
      <c r="P136" s="81"/>
      <c r="Q136" s="81"/>
      <c r="R136" s="81"/>
      <c r="S136" s="81"/>
      <c r="T136" s="81"/>
      <c r="U136" s="81"/>
      <c r="V136" s="912">
        <f>SUM(V129:V135)</f>
        <v>0</v>
      </c>
      <c r="W136" s="1094">
        <f>SUM(W129:W135)</f>
        <v>0</v>
      </c>
      <c r="X136" s="1095">
        <f>SUM(X129:X135)</f>
        <v>0</v>
      </c>
      <c r="Y136" s="1065">
        <f>SUM(Y129:Y135)</f>
        <v>0</v>
      </c>
      <c r="Z136" s="904"/>
      <c r="AA136" s="904"/>
      <c r="AB136" s="903"/>
      <c r="AC136" s="904"/>
      <c r="AD136" s="904"/>
      <c r="AE136" s="904"/>
    </row>
    <row r="137" spans="1:32" ht="18" customHeight="1" x14ac:dyDescent="0.25">
      <c r="P137" s="160"/>
      <c r="V137" s="913"/>
      <c r="W137" s="913"/>
      <c r="X137" s="905"/>
      <c r="Y137" s="905"/>
      <c r="Z137" s="904"/>
      <c r="AA137" s="904"/>
      <c r="AB137" s="903"/>
      <c r="AC137" s="904"/>
      <c r="AD137" s="904"/>
      <c r="AE137" s="904"/>
    </row>
    <row r="138" spans="1:32" ht="18" customHeight="1" x14ac:dyDescent="0.25">
      <c r="C138" s="56" t="s">
        <v>319</v>
      </c>
      <c r="P138" s="160"/>
      <c r="V138" s="913"/>
      <c r="W138" s="913"/>
      <c r="X138" s="905"/>
      <c r="Y138" s="905"/>
      <c r="Z138" s="904"/>
      <c r="AA138" s="904"/>
      <c r="AB138" s="903"/>
      <c r="AC138" s="904"/>
      <c r="AD138" s="904"/>
      <c r="AE138" s="904"/>
    </row>
    <row r="139" spans="1:32" ht="26.25" customHeight="1" x14ac:dyDescent="0.25">
      <c r="P139" s="160"/>
      <c r="S139" s="1773" t="s">
        <v>82</v>
      </c>
      <c r="T139" s="1774"/>
      <c r="U139" s="1775"/>
      <c r="V139" s="1776" t="s">
        <v>237</v>
      </c>
      <c r="W139" s="1777"/>
      <c r="X139" s="1777"/>
      <c r="Y139" s="1778"/>
      <c r="Z139" s="904"/>
      <c r="AA139" s="904"/>
      <c r="AB139" s="903"/>
      <c r="AC139" s="904"/>
      <c r="AD139" s="904"/>
      <c r="AE139" s="904"/>
    </row>
    <row r="140" spans="1:32" s="914" customFormat="1" ht="39.6" x14ac:dyDescent="0.25">
      <c r="D140" s="1714" t="s">
        <v>87</v>
      </c>
      <c r="E140" s="1705"/>
      <c r="F140" s="1705"/>
      <c r="G140" s="1705"/>
      <c r="H140" s="1705"/>
      <c r="I140" s="1705"/>
      <c r="J140" s="1705"/>
      <c r="K140" s="1705"/>
      <c r="L140" s="1705"/>
      <c r="M140" s="55" t="s">
        <v>324</v>
      </c>
      <c r="N140" s="868"/>
      <c r="O140" s="868"/>
      <c r="P140" s="868"/>
      <c r="Q140" s="868"/>
      <c r="R140" s="915"/>
      <c r="S140" s="906" t="s">
        <v>325</v>
      </c>
      <c r="T140" s="906" t="s">
        <v>326</v>
      </c>
      <c r="U140" s="906" t="s">
        <v>214</v>
      </c>
      <c r="V140" s="906" t="str">
        <f>$V$73</f>
        <v>Equity</v>
      </c>
      <c r="W140" s="907" t="str">
        <f>$W$73</f>
        <v>Public Loan</v>
      </c>
      <c r="X140" s="908" t="str">
        <f>$X$73</f>
        <v>Commercial Loan with Guarantees</v>
      </c>
      <c r="Y140" s="909" t="str">
        <f>$Y$73</f>
        <v>Commercial Loan w/out Guarantees</v>
      </c>
    </row>
    <row r="141" spans="1:32" s="1074" customFormat="1" ht="26.7" customHeight="1" x14ac:dyDescent="0.25">
      <c r="D141" s="1704" t="str">
        <f>D114</f>
        <v>Grid/Transmission Risk</v>
      </c>
      <c r="E141" s="1705"/>
      <c r="F141" s="1705"/>
      <c r="G141" s="1705"/>
      <c r="H141" s="1705"/>
      <c r="I141" s="1705"/>
      <c r="J141" s="1705"/>
      <c r="K141" s="1705"/>
      <c r="L141" s="1705"/>
      <c r="M141" s="1697" t="str">
        <f>M114</f>
        <v>Take or Pay Clause in PPA</v>
      </c>
      <c r="N141" s="1697"/>
      <c r="O141" s="1697"/>
      <c r="P141" s="1697"/>
      <c r="Q141" s="868"/>
      <c r="R141" s="915"/>
      <c r="S141" s="985">
        <v>0</v>
      </c>
      <c r="T141" s="985">
        <v>0</v>
      </c>
      <c r="U141" s="986">
        <v>0</v>
      </c>
      <c r="V141" s="911">
        <f>IF($V$114="Y",-SUM($R$87)*$S$141*(1-$U$141),0)</f>
        <v>0</v>
      </c>
      <c r="W141" s="1092">
        <f>IF($V$114="Y",-SUM($S$87)*$T$141*(1-$U$141),0)</f>
        <v>0</v>
      </c>
      <c r="X141" s="1093">
        <f>IF($V$114="Y",-SUM($T$87)*$T$141*(1-$U$141),0)</f>
        <v>0</v>
      </c>
      <c r="Y141" s="1066">
        <f>IF($V$114="Y",-SUM($U$87)*$T$141*(1-$U$141),0)</f>
        <v>0</v>
      </c>
    </row>
    <row r="142" spans="1:32" s="1074" customFormat="1" ht="26.7" customHeight="1" x14ac:dyDescent="0.25">
      <c r="D142" s="1704" t="str">
        <f>D115</f>
        <v>Counterparty Risk</v>
      </c>
      <c r="E142" s="1705"/>
      <c r="F142" s="1705"/>
      <c r="G142" s="1705"/>
      <c r="H142" s="1705"/>
      <c r="I142" s="1705"/>
      <c r="J142" s="1705"/>
      <c r="K142" s="1705"/>
      <c r="L142" s="1705"/>
      <c r="M142" s="1697" t="str">
        <f>M115</f>
        <v>Government Guarantee for PPA</v>
      </c>
      <c r="N142" s="1697"/>
      <c r="O142" s="1697"/>
      <c r="P142" s="1697"/>
      <c r="Q142" s="868"/>
      <c r="R142" s="915"/>
      <c r="S142" s="985">
        <v>0</v>
      </c>
      <c r="T142" s="985">
        <v>0</v>
      </c>
      <c r="U142" s="986">
        <v>0</v>
      </c>
      <c r="V142" s="911">
        <f>IF($V$115="Y",-SUM($R$88)*$S$142*(1-$U$142),0)</f>
        <v>0</v>
      </c>
      <c r="W142" s="1092">
        <f>IF($V$115="Y",-SUM($S$88)*$T$142*(1-$U$142),0)</f>
        <v>0</v>
      </c>
      <c r="X142" s="1093">
        <f>IF($V$115="Y",-SUM($T$88)*$T$142*(1-$U$142),0)</f>
        <v>0</v>
      </c>
      <c r="Y142" s="1066">
        <f>IF($V$115="Y",-SUM($U$88)*$T$142*(1-$U$142),0)</f>
        <v>0</v>
      </c>
    </row>
    <row r="143" spans="1:32" s="59" customFormat="1" ht="27" customHeight="1" x14ac:dyDescent="0.3">
      <c r="D143" s="1704" t="str">
        <f>$D$89</f>
        <v>Financial Sector Risk</v>
      </c>
      <c r="E143" s="1705"/>
      <c r="F143" s="1705"/>
      <c r="G143" s="1705"/>
      <c r="H143" s="1705"/>
      <c r="I143" s="1705"/>
      <c r="J143" s="1705"/>
      <c r="K143" s="1705"/>
      <c r="L143" s="1705"/>
      <c r="M143" s="1697" t="str">
        <f>$M$116</f>
        <v>Public Loans</v>
      </c>
      <c r="N143" s="1697"/>
      <c r="O143" s="1697"/>
      <c r="P143" s="1697"/>
      <c r="Q143" s="868"/>
      <c r="R143" s="869"/>
      <c r="S143" s="985">
        <v>0</v>
      </c>
      <c r="T143" s="985">
        <v>0</v>
      </c>
      <c r="U143" s="986">
        <v>0</v>
      </c>
      <c r="V143" s="911">
        <f>IF(AND($V$116="Y", $S$31=0),-SUM($R$89)*$S$143*(1-$U$143),0)</f>
        <v>0</v>
      </c>
      <c r="W143" s="1092">
        <f>IF(AND($V$116="Y", $S$31&gt;0),-SUM(S$89)*$T$143*(1-$U$143),0)</f>
        <v>0</v>
      </c>
      <c r="X143" s="1093">
        <f>IF(AND($V$116="Y", $S$31&gt;0),-SUM(T$89)*$T$143*(1-$U$143),0)</f>
        <v>0</v>
      </c>
      <c r="Y143" s="1066">
        <f>IF(AND($V$116="Y", $S$31&gt;0),-SUM(U$89)*$T$143*(1-$U$143),0)</f>
        <v>0</v>
      </c>
      <c r="Z143" s="916"/>
      <c r="AA143" s="1832"/>
      <c r="AB143" s="1833"/>
      <c r="AC143" s="1833"/>
      <c r="AD143" s="1833"/>
      <c r="AE143" s="1833"/>
      <c r="AF143" s="1833"/>
    </row>
    <row r="144" spans="1:32" s="59" customFormat="1" ht="27" customHeight="1" x14ac:dyDescent="0.3">
      <c r="D144" s="1704" t="str">
        <f>$D$89</f>
        <v>Financial Sector Risk</v>
      </c>
      <c r="E144" s="1705"/>
      <c r="F144" s="1705"/>
      <c r="G144" s="1705"/>
      <c r="H144" s="1705"/>
      <c r="I144" s="1705"/>
      <c r="J144" s="1705"/>
      <c r="K144" s="1705"/>
      <c r="L144" s="1705"/>
      <c r="M144" s="1697" t="str">
        <f>$M$118</f>
        <v>Public Guarantees to Commercial Loans</v>
      </c>
      <c r="N144" s="1697"/>
      <c r="O144" s="1697"/>
      <c r="P144" s="1697"/>
      <c r="Q144" s="868"/>
      <c r="R144" s="869"/>
      <c r="S144" s="985">
        <v>0</v>
      </c>
      <c r="T144" s="985">
        <v>1</v>
      </c>
      <c r="U144" s="986">
        <v>0</v>
      </c>
      <c r="V144" s="911">
        <f xml:space="preserve"> IF(AND($V$118="Y",$S$32=0),-SUM($R$89)*$S$144*(1-$U$144),0)</f>
        <v>0</v>
      </c>
      <c r="W144" s="1092">
        <f>IF(AND($V$118="Y",$S$32&gt;0),-SUM(S89)*$T$144*(1-$U$144),0)</f>
        <v>0</v>
      </c>
      <c r="X144" s="1093">
        <f>IF(AND($V$118="Y",$S$32&gt;0),-SUM(T89)*$T$144*(1-$U$144),0)</f>
        <v>0</v>
      </c>
      <c r="Y144" s="1066">
        <f>IF(AND($V$118="Y",$S$32&gt;0),-SUM(U89)*$T$144*(1-$U$144),0)</f>
        <v>0</v>
      </c>
      <c r="Z144" s="917"/>
      <c r="AB144" s="903"/>
      <c r="AC144" s="917"/>
      <c r="AD144" s="917"/>
      <c r="AE144" s="917"/>
    </row>
    <row r="145" spans="2:32" s="59" customFormat="1" ht="27" customHeight="1" x14ac:dyDescent="0.3">
      <c r="D145" s="1704" t="str">
        <f>$D$90</f>
        <v>Political Risk</v>
      </c>
      <c r="E145" s="1705"/>
      <c r="F145" s="1705"/>
      <c r="G145" s="1705"/>
      <c r="H145" s="1705"/>
      <c r="I145" s="1705"/>
      <c r="J145" s="1705"/>
      <c r="K145" s="1705"/>
      <c r="L145" s="1705"/>
      <c r="M145" s="1697" t="str">
        <f>$M$120</f>
        <v>Political Risk Insurance for Equity Investment</v>
      </c>
      <c r="N145" s="1697"/>
      <c r="O145" s="1697"/>
      <c r="P145" s="1697"/>
      <c r="Q145" s="868"/>
      <c r="R145" s="869"/>
      <c r="S145" s="985">
        <v>0</v>
      </c>
      <c r="T145" s="985">
        <v>0</v>
      </c>
      <c r="U145" s="986">
        <v>0</v>
      </c>
      <c r="V145" s="911">
        <f>IF($V$120="Y",-SUM($R$90)*$S$145*(1-$U$145),0)</f>
        <v>0</v>
      </c>
      <c r="W145" s="1092">
        <f>IF($V$120="Y",-SUM(S90)*$T$145*(1-$U$145),0)</f>
        <v>0</v>
      </c>
      <c r="X145" s="1093">
        <f>IF($V$120="Y",-SUM(T90)*$T$145*(1-$U$145),0)</f>
        <v>0</v>
      </c>
      <c r="Y145" s="1066">
        <f>IF($V$120="Y",-SUM(U90)*$T$145*(1-$U$145),0)</f>
        <v>0</v>
      </c>
      <c r="Z145" s="916"/>
      <c r="AB145" s="903"/>
      <c r="AC145" s="917"/>
      <c r="AD145" s="917"/>
      <c r="AE145" s="917"/>
    </row>
    <row r="146" spans="2:32" s="59" customFormat="1" ht="27" customHeight="1" x14ac:dyDescent="0.3">
      <c r="D146" s="1080" t="str">
        <f>D121</f>
        <v>Currency/Macro Risk</v>
      </c>
      <c r="E146" s="1079"/>
      <c r="F146" s="1079"/>
      <c r="G146" s="1079"/>
      <c r="H146" s="1079"/>
      <c r="I146" s="1079"/>
      <c r="J146" s="1079"/>
      <c r="K146" s="1079"/>
      <c r="L146" s="1079"/>
      <c r="M146" s="1697" t="str">
        <f>M121</f>
        <v>Partial Indexing</v>
      </c>
      <c r="N146" s="1697"/>
      <c r="O146" s="1697"/>
      <c r="P146" s="1697"/>
      <c r="Q146" s="868"/>
      <c r="R146" s="868"/>
      <c r="S146" s="985">
        <v>0</v>
      </c>
      <c r="T146" s="985">
        <v>0</v>
      </c>
      <c r="U146" s="986">
        <v>0</v>
      </c>
      <c r="V146" s="911">
        <f>IF($V$121="Y",-SUM($R$91)*$S$146*(1-$U$146),0)</f>
        <v>0</v>
      </c>
      <c r="W146" s="1092">
        <f>IF($V$121="Y",-SUM($S$91)*$T$146*(1-$U$146),0)</f>
        <v>0</v>
      </c>
      <c r="X146" s="1093">
        <f>IF($V$121="Y",-SUM($T$91)*$T$146*(1-$U$146),0)</f>
        <v>0</v>
      </c>
      <c r="Y146" s="1066">
        <f>IF($V$121="Y",-SUM($U$91)*$T$146*(1-$U$146),0)</f>
        <v>0</v>
      </c>
      <c r="Z146" s="916"/>
      <c r="AB146" s="903"/>
      <c r="AC146" s="917"/>
      <c r="AD146" s="917"/>
      <c r="AE146" s="917"/>
    </row>
    <row r="147" spans="2:32" ht="26.25" customHeight="1" x14ac:dyDescent="0.25">
      <c r="D147" s="1714" t="s">
        <v>243</v>
      </c>
      <c r="E147" s="1663"/>
      <c r="F147" s="1663"/>
      <c r="G147" s="1663"/>
      <c r="H147" s="1663"/>
      <c r="I147" s="1663"/>
      <c r="J147" s="1663"/>
      <c r="K147" s="1663"/>
      <c r="L147" s="1663"/>
      <c r="M147" s="832"/>
      <c r="N147" s="832"/>
      <c r="O147" s="832"/>
      <c r="P147" s="918"/>
      <c r="Q147" s="832"/>
      <c r="R147" s="832"/>
      <c r="S147" s="832"/>
      <c r="T147" s="832"/>
      <c r="U147" s="919"/>
      <c r="V147" s="912">
        <f>SUM(V141:V146)</f>
        <v>0</v>
      </c>
      <c r="W147" s="1094">
        <f>SUM(W141:W146)</f>
        <v>0</v>
      </c>
      <c r="X147" s="1095">
        <f>SUM(X141:X146)</f>
        <v>0</v>
      </c>
      <c r="Y147" s="1065">
        <f>SUM(Y141:Y146)</f>
        <v>0</v>
      </c>
      <c r="Z147" s="904"/>
      <c r="AB147" s="903"/>
      <c r="AC147" s="904"/>
      <c r="AD147" s="904"/>
      <c r="AE147" s="904"/>
    </row>
    <row r="148" spans="2:32" ht="27.75" customHeight="1" x14ac:dyDescent="0.25">
      <c r="D148" s="125"/>
      <c r="G148" s="59"/>
      <c r="R148" s="920" t="s">
        <v>397</v>
      </c>
      <c r="S148" s="921" t="str">
        <f>IF(SUM(S141,S133)&gt;1,"Incorrect entry, see note",IF(SUM(S134,S142)&gt;1,"Incorrect entry, see note",IF(SUM(S135,S143,S144)&gt;1,"Incorrect entry, see note","")))</f>
        <v/>
      </c>
      <c r="T148" s="921" t="str">
        <f>IF(SUM(S141,S133)&gt;1,"Incorrect entry, see note",IF(SUM(S134,S142)&gt;1,"Incorrect entry, see note",IF(SUM(S135,S143,S144)&gt;1,"Incorrect entry, see note","")))</f>
        <v/>
      </c>
      <c r="U148" s="921"/>
      <c r="Z148" s="916" t="s">
        <v>254</v>
      </c>
      <c r="AA148" s="1834" t="s">
        <v>438</v>
      </c>
      <c r="AB148" s="1834"/>
      <c r="AC148" s="1834"/>
      <c r="AD148" s="1834"/>
      <c r="AE148" s="1834"/>
      <c r="AF148" s="1834"/>
    </row>
    <row r="149" spans="2:32" x14ac:dyDescent="0.25">
      <c r="G149" s="59"/>
      <c r="AA149" s="848"/>
    </row>
    <row r="150" spans="2:32" x14ac:dyDescent="0.25">
      <c r="B150" s="55" t="s">
        <v>240</v>
      </c>
      <c r="C150" s="55"/>
      <c r="D150" s="81"/>
      <c r="E150" s="81"/>
      <c r="F150" s="81"/>
      <c r="G150" s="81"/>
      <c r="H150" s="81"/>
      <c r="I150" s="81"/>
      <c r="J150" s="81"/>
      <c r="K150" s="81"/>
      <c r="L150" s="81"/>
      <c r="M150" s="55"/>
      <c r="N150" s="55"/>
      <c r="O150" s="55"/>
      <c r="P150" s="788"/>
      <c r="Q150" s="788"/>
      <c r="R150" s="788"/>
      <c r="S150" s="788"/>
      <c r="T150" s="788"/>
      <c r="U150" s="788"/>
      <c r="V150" s="788"/>
      <c r="W150" s="788"/>
      <c r="X150" s="788"/>
      <c r="Y150" s="788"/>
    </row>
    <row r="151" spans="2:32" x14ac:dyDescent="0.25"/>
    <row r="152" spans="2:32" x14ac:dyDescent="0.25">
      <c r="C152" s="56" t="s">
        <v>321</v>
      </c>
      <c r="R152" s="1648" t="s">
        <v>200</v>
      </c>
      <c r="S152" s="1649"/>
      <c r="T152" s="1649"/>
      <c r="U152" s="1650"/>
      <c r="V152" s="1859" t="s">
        <v>201</v>
      </c>
      <c r="W152" s="1860"/>
      <c r="X152" s="1860"/>
      <c r="Y152" s="1861"/>
    </row>
    <row r="153" spans="2:32" ht="26.4" x14ac:dyDescent="0.25">
      <c r="P153" s="181"/>
      <c r="R153" s="842" t="s">
        <v>177</v>
      </c>
      <c r="S153" s="1885" t="s">
        <v>176</v>
      </c>
      <c r="T153" s="1886"/>
      <c r="U153" s="1887"/>
      <c r="V153" s="922" t="s">
        <v>177</v>
      </c>
      <c r="W153" s="1888" t="s">
        <v>176</v>
      </c>
      <c r="X153" s="1889"/>
      <c r="Y153" s="1890"/>
    </row>
    <row r="154" spans="2:32" s="789" customFormat="1" ht="39.75" customHeight="1" x14ac:dyDescent="0.3">
      <c r="D154" s="1714" t="s">
        <v>87</v>
      </c>
      <c r="E154" s="1705"/>
      <c r="F154" s="1705"/>
      <c r="G154" s="1705"/>
      <c r="H154" s="1705"/>
      <c r="I154" s="1705"/>
      <c r="J154" s="1705"/>
      <c r="K154" s="1705"/>
      <c r="L154" s="1705"/>
      <c r="M154" s="1663" t="s">
        <v>324</v>
      </c>
      <c r="N154" s="1705"/>
      <c r="O154" s="1705"/>
      <c r="P154" s="1711"/>
      <c r="Q154" s="906" t="s">
        <v>175</v>
      </c>
      <c r="R154" s="923" t="s">
        <v>228</v>
      </c>
      <c r="S154" s="923" t="s">
        <v>83</v>
      </c>
      <c r="T154" s="924" t="s">
        <v>89</v>
      </c>
      <c r="U154" s="925" t="s">
        <v>224</v>
      </c>
      <c r="V154" s="845" t="s">
        <v>228</v>
      </c>
      <c r="W154" s="845" t="s">
        <v>83</v>
      </c>
      <c r="X154" s="846" t="s">
        <v>89</v>
      </c>
      <c r="Y154" s="847" t="s">
        <v>224</v>
      </c>
      <c r="Z154" s="797" t="s">
        <v>254</v>
      </c>
      <c r="AA154" s="1709" t="s">
        <v>418</v>
      </c>
      <c r="AB154" s="1709"/>
      <c r="AC154" s="1709"/>
      <c r="AD154" s="1709"/>
      <c r="AE154" s="1709"/>
      <c r="AF154" s="1709"/>
    </row>
    <row r="155" spans="2:32" s="789" customFormat="1" ht="25.95" customHeight="1" x14ac:dyDescent="0.3">
      <c r="D155" s="1851" t="str">
        <f>$D$102</f>
        <v>Power Market Risk</v>
      </c>
      <c r="E155" s="1852"/>
      <c r="F155" s="1852"/>
      <c r="G155" s="1852"/>
      <c r="H155" s="1852"/>
      <c r="I155" s="1852"/>
      <c r="J155" s="1852"/>
      <c r="K155" s="1852"/>
      <c r="L155" s="1852"/>
      <c r="M155" s="1697" t="str">
        <f>$M$102</f>
        <v>Long term targets; regulatory framework; standardised PPA; independent regulator</v>
      </c>
      <c r="N155" s="1697"/>
      <c r="O155" s="1697"/>
      <c r="P155" s="1708"/>
      <c r="Q155" s="983" t="s">
        <v>223</v>
      </c>
      <c r="R155" s="1477">
        <v>0</v>
      </c>
      <c r="S155" s="1281">
        <v>0</v>
      </c>
      <c r="T155" s="984">
        <v>0</v>
      </c>
      <c r="U155" s="1282">
        <f t="shared" ref="U155:U161" si="5">IF(S102="Y", PV($U$19,T155,-S155),0)</f>
        <v>0</v>
      </c>
      <c r="V155" s="1477">
        <v>0</v>
      </c>
      <c r="W155" s="1283">
        <v>0</v>
      </c>
      <c r="X155" s="982">
        <v>0</v>
      </c>
      <c r="Y155" s="1286">
        <f>IF('III. Inputs, Renewable Energy'!V102="Y", PV('III. Inputs, Renewable Energy'!$U$19,X155,-W155),0)</f>
        <v>0</v>
      </c>
      <c r="AA155" s="1709" t="s">
        <v>419</v>
      </c>
      <c r="AB155" s="1709"/>
      <c r="AC155" s="1709"/>
      <c r="AD155" s="1709"/>
      <c r="AE155" s="1709"/>
      <c r="AF155" s="1709"/>
    </row>
    <row r="156" spans="2:32" s="789" customFormat="1" ht="25.95" customHeight="1" x14ac:dyDescent="0.3">
      <c r="D156" s="1851" t="str">
        <f>$D$103</f>
        <v>Permits Risk</v>
      </c>
      <c r="E156" s="1705"/>
      <c r="F156" s="1705"/>
      <c r="G156" s="1705"/>
      <c r="H156" s="1705"/>
      <c r="I156" s="1705"/>
      <c r="J156" s="1705"/>
      <c r="K156" s="1705"/>
      <c r="L156" s="1705"/>
      <c r="M156" s="1697" t="str">
        <f>$M$103</f>
        <v>Streamlined process for permits; Establish a dedicated one-stop shop for RE permits; contract enforcement and recourse mechanisms</v>
      </c>
      <c r="N156" s="1697"/>
      <c r="O156" s="1697"/>
      <c r="P156" s="1708"/>
      <c r="Q156" s="983" t="s">
        <v>223</v>
      </c>
      <c r="R156" s="1281">
        <v>0</v>
      </c>
      <c r="S156" s="1281">
        <v>0</v>
      </c>
      <c r="T156" s="984">
        <v>0</v>
      </c>
      <c r="U156" s="1282">
        <f t="shared" si="5"/>
        <v>0</v>
      </c>
      <c r="V156" s="1477">
        <v>0</v>
      </c>
      <c r="W156" s="1283">
        <v>0</v>
      </c>
      <c r="X156" s="982">
        <v>0</v>
      </c>
      <c r="Y156" s="1286">
        <f>IF('III. Inputs, Renewable Energy'!V103="Y", PV('III. Inputs, Renewable Energy'!$U$19,X156,-W156),0)</f>
        <v>0</v>
      </c>
      <c r="AA156" s="1709" t="s">
        <v>404</v>
      </c>
      <c r="AB156" s="1709"/>
      <c r="AC156" s="1709"/>
      <c r="AD156" s="1709"/>
      <c r="AE156" s="1709"/>
      <c r="AF156" s="1709"/>
    </row>
    <row r="157" spans="2:32" s="789" customFormat="1" ht="25.95" customHeight="1" x14ac:dyDescent="0.3">
      <c r="D157" s="1851" t="str">
        <f>$D$104</f>
        <v>Social Acceptance Risk</v>
      </c>
      <c r="E157" s="1705"/>
      <c r="F157" s="1705"/>
      <c r="G157" s="1705"/>
      <c r="H157" s="1705"/>
      <c r="I157" s="1705"/>
      <c r="J157" s="1705"/>
      <c r="K157" s="1705"/>
      <c r="L157" s="1705"/>
      <c r="M157" s="1697" t="str">
        <f>$M$104</f>
        <v>Awareness-raising campaigns targeting communities and end-users; pilot models for community involvement at project sites</v>
      </c>
      <c r="N157" s="1697"/>
      <c r="O157" s="1697"/>
      <c r="P157" s="1708"/>
      <c r="Q157" s="983" t="s">
        <v>223</v>
      </c>
      <c r="R157" s="1281">
        <v>0</v>
      </c>
      <c r="S157" s="1281">
        <v>0</v>
      </c>
      <c r="T157" s="984">
        <v>0</v>
      </c>
      <c r="U157" s="1282">
        <f t="shared" si="5"/>
        <v>0</v>
      </c>
      <c r="V157" s="1477">
        <v>0</v>
      </c>
      <c r="W157" s="1283">
        <v>0</v>
      </c>
      <c r="X157" s="982">
        <v>0</v>
      </c>
      <c r="Y157" s="1286">
        <f>IF('III. Inputs, Renewable Energy'!V104="Y", PV('III. Inputs, Renewable Energy'!$U$19,X157,-W157),0)</f>
        <v>0</v>
      </c>
      <c r="AA157" s="1710" t="s">
        <v>405</v>
      </c>
      <c r="AB157" s="1710"/>
      <c r="AC157" s="1710"/>
      <c r="AD157" s="1710"/>
      <c r="AE157" s="1710"/>
      <c r="AF157" s="1710"/>
    </row>
    <row r="158" spans="2:32" s="789" customFormat="1" ht="25.95" customHeight="1" x14ac:dyDescent="0.3">
      <c r="D158" s="1851" t="str">
        <f>$D$105</f>
        <v>Resource &amp; Technology Risk</v>
      </c>
      <c r="E158" s="1705"/>
      <c r="F158" s="1705"/>
      <c r="G158" s="1705"/>
      <c r="H158" s="1705"/>
      <c r="I158" s="1705"/>
      <c r="J158" s="1705"/>
      <c r="K158" s="1705"/>
      <c r="L158" s="1705"/>
      <c r="M158" s="1707" t="str">
        <f>$M$105</f>
        <v>Resource assessment; Technology and O&amp;M assistance</v>
      </c>
      <c r="N158" s="1697"/>
      <c r="O158" s="1697"/>
      <c r="P158" s="1708"/>
      <c r="Q158" s="983" t="s">
        <v>223</v>
      </c>
      <c r="R158" s="1281">
        <v>0</v>
      </c>
      <c r="S158" s="1281">
        <v>0</v>
      </c>
      <c r="T158" s="984">
        <v>0</v>
      </c>
      <c r="U158" s="1282">
        <f t="shared" si="5"/>
        <v>0</v>
      </c>
      <c r="V158" s="1477">
        <v>0</v>
      </c>
      <c r="W158" s="1283">
        <v>0</v>
      </c>
      <c r="X158" s="982">
        <v>0</v>
      </c>
      <c r="Y158" s="1286">
        <f>IF('III. Inputs, Renewable Energy'!V105="Y", PV('III. Inputs, Renewable Energy'!$U$19,X158,-W158),0)</f>
        <v>0</v>
      </c>
    </row>
    <row r="159" spans="2:32" s="789" customFormat="1" ht="25.95" customHeight="1" x14ac:dyDescent="0.3">
      <c r="D159" s="1851" t="str">
        <f>$D$106</f>
        <v>Grid/Transmission Risk</v>
      </c>
      <c r="E159" s="1705"/>
      <c r="F159" s="1705"/>
      <c r="G159" s="1705"/>
      <c r="H159" s="1705"/>
      <c r="I159" s="1705"/>
      <c r="J159" s="1705"/>
      <c r="K159" s="1705"/>
      <c r="L159" s="1705"/>
      <c r="M159" s="1697" t="str">
        <f>$M$106</f>
        <v>Grid code; grid management studies</v>
      </c>
      <c r="N159" s="1697"/>
      <c r="O159" s="1697"/>
      <c r="P159" s="1708"/>
      <c r="Q159" s="983" t="s">
        <v>223</v>
      </c>
      <c r="R159" s="1281">
        <v>0</v>
      </c>
      <c r="S159" s="1281">
        <v>0</v>
      </c>
      <c r="T159" s="984">
        <v>0</v>
      </c>
      <c r="U159" s="1282">
        <f t="shared" si="5"/>
        <v>0</v>
      </c>
      <c r="V159" s="1477">
        <v>0</v>
      </c>
      <c r="W159" s="1283">
        <v>0</v>
      </c>
      <c r="X159" s="982">
        <v>0</v>
      </c>
      <c r="Y159" s="1286">
        <f>IF('III. Inputs, Renewable Energy'!V106="Y", PV('III. Inputs, Renewable Energy'!$U$19,X159,-W159),0)</f>
        <v>0</v>
      </c>
    </row>
    <row r="160" spans="2:32" s="789" customFormat="1" ht="25.95" customHeight="1" x14ac:dyDescent="0.3">
      <c r="D160" s="1851" t="str">
        <f>$D$107</f>
        <v>Counterparty Risk</v>
      </c>
      <c r="E160" s="1705"/>
      <c r="F160" s="1705"/>
      <c r="G160" s="1705"/>
      <c r="H160" s="1705"/>
      <c r="I160" s="1705"/>
      <c r="J160" s="1705"/>
      <c r="K160" s="1705"/>
      <c r="L160" s="1705"/>
      <c r="M160" s="1697" t="str">
        <f>$M$107</f>
        <v>Strengthening utility's management &amp; operational performance for existing operations</v>
      </c>
      <c r="N160" s="1697"/>
      <c r="O160" s="1697"/>
      <c r="P160" s="1708"/>
      <c r="Q160" s="983" t="s">
        <v>223</v>
      </c>
      <c r="R160" s="1281">
        <v>0</v>
      </c>
      <c r="S160" s="1281">
        <v>0</v>
      </c>
      <c r="T160" s="984">
        <v>0</v>
      </c>
      <c r="U160" s="1282">
        <f t="shared" si="5"/>
        <v>0</v>
      </c>
      <c r="V160" s="1477">
        <v>0</v>
      </c>
      <c r="W160" s="1283">
        <v>0</v>
      </c>
      <c r="X160" s="982">
        <v>0</v>
      </c>
      <c r="Y160" s="1286">
        <f>IF('III. Inputs, Renewable Energy'!V107="Y", PV('III. Inputs, Renewable Energy'!$U$19,X160,-W160),0)</f>
        <v>0</v>
      </c>
    </row>
    <row r="161" spans="3:25" s="789" customFormat="1" ht="25.95" customHeight="1" x14ac:dyDescent="0.3">
      <c r="D161" s="1851" t="str">
        <f>$D$108</f>
        <v>Financial Sector Risk</v>
      </c>
      <c r="E161" s="1705"/>
      <c r="F161" s="1705"/>
      <c r="G161" s="1705"/>
      <c r="H161" s="1705"/>
      <c r="I161" s="1705"/>
      <c r="J161" s="1705"/>
      <c r="K161" s="1705"/>
      <c r="L161" s="1705"/>
      <c r="M161" s="1697" t="str">
        <f>$M$108</f>
        <v>Financial sector reform; strengthening investors' familiarity and assessment capacity for renewable energy</v>
      </c>
      <c r="N161" s="1697"/>
      <c r="O161" s="1697"/>
      <c r="P161" s="1708"/>
      <c r="Q161" s="983" t="s">
        <v>223</v>
      </c>
      <c r="R161" s="1281">
        <v>0</v>
      </c>
      <c r="S161" s="1281">
        <v>0</v>
      </c>
      <c r="T161" s="984">
        <v>0</v>
      </c>
      <c r="U161" s="1282">
        <f t="shared" si="5"/>
        <v>0</v>
      </c>
      <c r="V161" s="1477">
        <v>0</v>
      </c>
      <c r="W161" s="1283">
        <v>0</v>
      </c>
      <c r="X161" s="982">
        <v>0</v>
      </c>
      <c r="Y161" s="1286">
        <f>IF('III. Inputs, Renewable Energy'!V108="Y", PV('III. Inputs, Renewable Energy'!$U$19,X161,-W161),0)</f>
        <v>0</v>
      </c>
    </row>
    <row r="162" spans="3:25" ht="27" customHeight="1" x14ac:dyDescent="0.25">
      <c r="D162" s="1841" t="s">
        <v>320</v>
      </c>
      <c r="E162" s="1663"/>
      <c r="F162" s="1663"/>
      <c r="G162" s="1663"/>
      <c r="H162" s="1663"/>
      <c r="I162" s="1663"/>
      <c r="J162" s="1663"/>
      <c r="K162" s="1663"/>
      <c r="L162" s="1663"/>
      <c r="M162" s="832"/>
      <c r="N162" s="832"/>
      <c r="O162" s="832"/>
      <c r="P162" s="918"/>
      <c r="Q162" s="919"/>
      <c r="R162" s="926">
        <f>SUM(R155:R161)</f>
        <v>0</v>
      </c>
      <c r="S162" s="926"/>
      <c r="T162" s="927"/>
      <c r="U162" s="1284">
        <f>SUM(U155:U161)</f>
        <v>0</v>
      </c>
      <c r="V162" s="1285">
        <f>SUM(V155:V161)</f>
        <v>0</v>
      </c>
      <c r="W162" s="1285"/>
      <c r="X162" s="928"/>
      <c r="Y162" s="1287">
        <f>SUM(Y155:Y161)</f>
        <v>0</v>
      </c>
    </row>
    <row r="163" spans="3:25" x14ac:dyDescent="0.25"/>
    <row r="164" spans="3:25" x14ac:dyDescent="0.25"/>
    <row r="165" spans="3:25" x14ac:dyDescent="0.25">
      <c r="C165" s="56" t="s">
        <v>449</v>
      </c>
      <c r="R165" s="1648" t="s">
        <v>200</v>
      </c>
      <c r="S165" s="1649"/>
      <c r="T165" s="1649"/>
      <c r="U165" s="1650"/>
      <c r="V165" s="1859" t="s">
        <v>201</v>
      </c>
      <c r="W165" s="1860"/>
      <c r="X165" s="1860"/>
      <c r="Y165" s="1861"/>
    </row>
    <row r="166" spans="3:25" ht="26.4" x14ac:dyDescent="0.25">
      <c r="P166" s="181"/>
      <c r="R166" s="1075" t="s">
        <v>177</v>
      </c>
      <c r="S166" s="1885" t="s">
        <v>176</v>
      </c>
      <c r="T166" s="1886"/>
      <c r="U166" s="1887"/>
      <c r="V166" s="922" t="s">
        <v>177</v>
      </c>
      <c r="W166" s="1888" t="s">
        <v>176</v>
      </c>
      <c r="X166" s="1889"/>
      <c r="Y166" s="1890"/>
    </row>
    <row r="167" spans="3:25" ht="39.6" x14ac:dyDescent="0.25">
      <c r="D167" s="1714" t="s">
        <v>87</v>
      </c>
      <c r="E167" s="1705"/>
      <c r="F167" s="1705"/>
      <c r="G167" s="1705"/>
      <c r="H167" s="1705"/>
      <c r="I167" s="1705"/>
      <c r="J167" s="1705"/>
      <c r="K167" s="1705"/>
      <c r="L167" s="1705"/>
      <c r="M167" s="1663" t="s">
        <v>324</v>
      </c>
      <c r="N167" s="1705"/>
      <c r="O167" s="1705"/>
      <c r="P167" s="1711"/>
      <c r="Q167" s="906" t="s">
        <v>175</v>
      </c>
      <c r="R167" s="923" t="s">
        <v>228</v>
      </c>
      <c r="S167" s="923" t="s">
        <v>83</v>
      </c>
      <c r="T167" s="924" t="s">
        <v>89</v>
      </c>
      <c r="U167" s="925" t="s">
        <v>224</v>
      </c>
      <c r="V167" s="1076" t="s">
        <v>228</v>
      </c>
      <c r="W167" s="1076" t="s">
        <v>83</v>
      </c>
      <c r="X167" s="1077" t="s">
        <v>89</v>
      </c>
      <c r="Y167" s="1078" t="s">
        <v>224</v>
      </c>
    </row>
    <row r="168" spans="3:25" ht="26.7" customHeight="1" x14ac:dyDescent="0.25">
      <c r="D168" s="1851" t="str">
        <f>D114</f>
        <v>Grid/Transmission Risk</v>
      </c>
      <c r="E168" s="1852"/>
      <c r="F168" s="1852"/>
      <c r="G168" s="1852"/>
      <c r="H168" s="1852"/>
      <c r="I168" s="1852"/>
      <c r="J168" s="1852"/>
      <c r="K168" s="1852"/>
      <c r="L168" s="1852"/>
      <c r="M168" s="1697" t="str">
        <f>M141</f>
        <v>Take or Pay Clause in PPA</v>
      </c>
      <c r="N168" s="1697"/>
      <c r="O168" s="1697"/>
      <c r="P168" s="1708"/>
      <c r="Q168" s="983" t="s">
        <v>223</v>
      </c>
      <c r="R168" s="1281">
        <v>0</v>
      </c>
      <c r="S168" s="1281">
        <v>0</v>
      </c>
      <c r="T168" s="984">
        <v>0</v>
      </c>
      <c r="U168" s="1282">
        <f>IF(S115="Y", PV($U$19,T168,-S168),0)</f>
        <v>0</v>
      </c>
      <c r="V168" s="1283">
        <v>0</v>
      </c>
      <c r="W168" s="1283">
        <v>0</v>
      </c>
      <c r="X168" s="982">
        <v>0</v>
      </c>
      <c r="Y168" s="1286">
        <f>IF('III. Inputs, Renewable Energy'!V115="Y", PV('III. Inputs, Renewable Energy'!$U$19,X168,-W168),0)</f>
        <v>0</v>
      </c>
    </row>
    <row r="169" spans="3:25" ht="26.7" customHeight="1" x14ac:dyDescent="0.25">
      <c r="D169" s="1851" t="str">
        <f>D115</f>
        <v>Counterparty Risk</v>
      </c>
      <c r="E169" s="1852"/>
      <c r="F169" s="1852"/>
      <c r="G169" s="1852"/>
      <c r="H169" s="1852"/>
      <c r="I169" s="1852"/>
      <c r="J169" s="1852"/>
      <c r="K169" s="1852"/>
      <c r="L169" s="1852"/>
      <c r="M169" s="1697" t="str">
        <f>M142</f>
        <v>Government Guarantee for PPA</v>
      </c>
      <c r="N169" s="1697"/>
      <c r="O169" s="1697"/>
      <c r="P169" s="1708"/>
      <c r="Q169" s="983" t="s">
        <v>223</v>
      </c>
      <c r="R169" s="1281">
        <v>0</v>
      </c>
      <c r="S169" s="1281">
        <v>0</v>
      </c>
      <c r="T169" s="984">
        <v>0</v>
      </c>
      <c r="U169" s="1282">
        <f>IF(S116="Y", PV($U$19,T169,-S169),0)</f>
        <v>0</v>
      </c>
      <c r="V169" s="1283">
        <v>0</v>
      </c>
      <c r="W169" s="1283">
        <v>0</v>
      </c>
      <c r="X169" s="982">
        <v>0</v>
      </c>
      <c r="Y169" s="1286">
        <f>IF('III. Inputs, Renewable Energy'!V116="Y", PV('III. Inputs, Renewable Energy'!$U$19,X169,-W169),0)</f>
        <v>0</v>
      </c>
    </row>
    <row r="170" spans="3:25" ht="25.95" customHeight="1" x14ac:dyDescent="0.25">
      <c r="D170" s="1851" t="str">
        <f>D121</f>
        <v>Currency/Macro Risk</v>
      </c>
      <c r="E170" s="1705"/>
      <c r="F170" s="1705"/>
      <c r="G170" s="1705"/>
      <c r="H170" s="1705"/>
      <c r="I170" s="1705"/>
      <c r="J170" s="1705"/>
      <c r="K170" s="1705"/>
      <c r="L170" s="1705"/>
      <c r="M170" s="1697" t="str">
        <f>M146</f>
        <v>Partial Indexing</v>
      </c>
      <c r="N170" s="1697"/>
      <c r="O170" s="1697"/>
      <c r="P170" s="1708"/>
      <c r="Q170" s="983" t="s">
        <v>223</v>
      </c>
      <c r="R170" s="1281">
        <v>0</v>
      </c>
      <c r="S170" s="1281">
        <v>0</v>
      </c>
      <c r="T170" s="984">
        <v>0</v>
      </c>
      <c r="U170" s="1282">
        <f>IF(S117="Y", PV($U$19,T170,-S170),0)</f>
        <v>0</v>
      </c>
      <c r="V170" s="1283">
        <v>0</v>
      </c>
      <c r="W170" s="1283">
        <v>0</v>
      </c>
      <c r="X170" s="982">
        <v>0</v>
      </c>
      <c r="Y170" s="1286">
        <f>IF('III. Inputs, Renewable Energy'!V117="Y", PV('III. Inputs, Renewable Energy'!$U$19,X170,-W170),0)</f>
        <v>0</v>
      </c>
    </row>
    <row r="171" spans="3:25" x14ac:dyDescent="0.25"/>
    <row r="172" spans="3:25" x14ac:dyDescent="0.25"/>
    <row r="173" spans="3:25" x14ac:dyDescent="0.25">
      <c r="C173" s="56" t="s">
        <v>447</v>
      </c>
      <c r="D173" s="56"/>
      <c r="S173" s="837"/>
    </row>
    <row r="174" spans="3:25" x14ac:dyDescent="0.25"/>
    <row r="175" spans="3:25" ht="12.75" customHeight="1" x14ac:dyDescent="0.25">
      <c r="D175" s="867" t="s">
        <v>87</v>
      </c>
      <c r="E175" s="868"/>
      <c r="F175" s="868"/>
      <c r="G175" s="868"/>
      <c r="H175" s="868"/>
      <c r="I175" s="868"/>
      <c r="J175" s="868"/>
      <c r="K175" s="868"/>
      <c r="L175" s="868"/>
      <c r="M175" s="1663" t="s">
        <v>324</v>
      </c>
      <c r="N175" s="1663"/>
      <c r="O175" s="1663"/>
      <c r="P175" s="1663"/>
      <c r="Q175" s="868"/>
      <c r="R175" s="869"/>
      <c r="S175" s="1716" t="s">
        <v>200</v>
      </c>
      <c r="T175" s="1717"/>
      <c r="U175" s="1718"/>
      <c r="V175" s="1688" t="s">
        <v>201</v>
      </c>
      <c r="W175" s="1689"/>
      <c r="X175" s="1690"/>
    </row>
    <row r="176" spans="3:25" ht="12.75" customHeight="1" x14ac:dyDescent="0.25">
      <c r="D176" s="1853" t="str">
        <f>$D$116</f>
        <v>Financial Sector Risk</v>
      </c>
      <c r="E176" s="1854"/>
      <c r="F176" s="1854"/>
      <c r="G176" s="1854"/>
      <c r="H176" s="1854"/>
      <c r="I176" s="1854"/>
      <c r="J176" s="1854"/>
      <c r="K176" s="1854"/>
      <c r="L176" s="1854"/>
      <c r="M176" s="930" t="str">
        <f>$M$116</f>
        <v>Public Loans</v>
      </c>
      <c r="N176" s="929"/>
      <c r="O176" s="929"/>
      <c r="P176" s="931"/>
      <c r="Q176" s="932"/>
      <c r="R176" s="932"/>
      <c r="S176" s="1937"/>
      <c r="T176" s="1938"/>
      <c r="U176" s="1939"/>
      <c r="V176" s="1879"/>
      <c r="W176" s="1880"/>
      <c r="X176" s="1881"/>
    </row>
    <row r="177" spans="1:27" ht="12.75" customHeight="1" x14ac:dyDescent="0.25">
      <c r="A177" s="91"/>
      <c r="B177" s="91"/>
      <c r="C177" s="91"/>
      <c r="D177" s="1855"/>
      <c r="E177" s="1856"/>
      <c r="F177" s="1856"/>
      <c r="G177" s="1856"/>
      <c r="H177" s="1856"/>
      <c r="I177" s="1856"/>
      <c r="J177" s="1856"/>
      <c r="K177" s="1856"/>
      <c r="L177" s="1856"/>
      <c r="M177" s="933"/>
      <c r="N177" s="933" t="s">
        <v>369</v>
      </c>
      <c r="O177" s="933"/>
      <c r="P177" s="181"/>
      <c r="Q177" s="784" t="s">
        <v>16</v>
      </c>
      <c r="R177" s="933"/>
      <c r="S177" s="1940">
        <v>0</v>
      </c>
      <c r="T177" s="1941"/>
      <c r="U177" s="1942"/>
      <c r="V177" s="1691" t="str">
        <f>'III. Inputs, Renewable Energy'!V38</f>
        <v>NA</v>
      </c>
      <c r="W177" s="1692"/>
      <c r="X177" s="1693"/>
    </row>
    <row r="178" spans="1:27" ht="12.75" customHeight="1" x14ac:dyDescent="0.25">
      <c r="A178" s="91"/>
      <c r="B178" s="91"/>
      <c r="C178" s="91"/>
      <c r="D178" s="1855"/>
      <c r="E178" s="1856"/>
      <c r="F178" s="1856"/>
      <c r="G178" s="1856"/>
      <c r="H178" s="1856"/>
      <c r="I178" s="1856"/>
      <c r="J178" s="1856"/>
      <c r="K178" s="1856"/>
      <c r="L178" s="1856"/>
      <c r="M178" s="933"/>
      <c r="N178" s="933" t="s">
        <v>29</v>
      </c>
      <c r="O178" s="933"/>
      <c r="P178" s="181"/>
      <c r="Q178" s="784" t="s">
        <v>20</v>
      </c>
      <c r="R178" s="933"/>
      <c r="S178" s="1943">
        <v>0</v>
      </c>
      <c r="T178" s="1944"/>
      <c r="U178" s="1945"/>
      <c r="V178" s="1694">
        <v>0</v>
      </c>
      <c r="W178" s="1695"/>
      <c r="X178" s="1696"/>
      <c r="Z178" s="799" t="s">
        <v>254</v>
      </c>
      <c r="AA178" s="57" t="s">
        <v>430</v>
      </c>
    </row>
    <row r="179" spans="1:27" ht="12.75" customHeight="1" x14ac:dyDescent="0.25">
      <c r="A179" s="91"/>
      <c r="B179" s="91"/>
      <c r="C179" s="91"/>
      <c r="D179" s="1857"/>
      <c r="E179" s="1858"/>
      <c r="F179" s="1858"/>
      <c r="G179" s="1858"/>
      <c r="H179" s="1858"/>
      <c r="I179" s="1858"/>
      <c r="J179" s="1858"/>
      <c r="K179" s="1858"/>
      <c r="L179" s="1858"/>
      <c r="M179" s="934"/>
      <c r="N179" s="934" t="s">
        <v>368</v>
      </c>
      <c r="O179" s="934"/>
      <c r="P179" s="935"/>
      <c r="Q179" s="936" t="s">
        <v>30</v>
      </c>
      <c r="R179" s="934"/>
      <c r="S179" s="1812">
        <v>0</v>
      </c>
      <c r="T179" s="1813"/>
      <c r="U179" s="1814"/>
      <c r="V179" s="1876">
        <v>0</v>
      </c>
      <c r="W179" s="1877"/>
      <c r="X179" s="1878"/>
    </row>
    <row r="180" spans="1:27" ht="12.75" customHeight="1" x14ac:dyDescent="0.25">
      <c r="D180" s="1853" t="str">
        <f>$D$118</f>
        <v>Financial Sector Risk</v>
      </c>
      <c r="E180" s="1913"/>
      <c r="F180" s="1913"/>
      <c r="G180" s="1913"/>
      <c r="H180" s="1913"/>
      <c r="I180" s="1913"/>
      <c r="J180" s="1913"/>
      <c r="K180" s="1913"/>
      <c r="L180" s="1913"/>
      <c r="M180" s="930" t="str">
        <f>$M$118</f>
        <v>Public Guarantees to Commercial Loans</v>
      </c>
      <c r="N180" s="929"/>
      <c r="O180" s="929"/>
      <c r="P180" s="931"/>
      <c r="Q180" s="937"/>
      <c r="R180" s="937"/>
      <c r="S180" s="1809"/>
      <c r="T180" s="1810"/>
      <c r="U180" s="1811"/>
      <c r="V180" s="1873"/>
      <c r="W180" s="1874"/>
      <c r="X180" s="1875"/>
    </row>
    <row r="181" spans="1:27" ht="12.75" customHeight="1" x14ac:dyDescent="0.25">
      <c r="A181" s="91"/>
      <c r="B181" s="91"/>
      <c r="C181" s="91"/>
      <c r="D181" s="1927"/>
      <c r="E181" s="1928"/>
      <c r="F181" s="1928"/>
      <c r="G181" s="1928"/>
      <c r="H181" s="1928"/>
      <c r="I181" s="1928"/>
      <c r="J181" s="1928"/>
      <c r="K181" s="1928"/>
      <c r="L181" s="1928"/>
      <c r="M181" s="146"/>
      <c r="N181" s="146" t="s">
        <v>406</v>
      </c>
      <c r="O181" s="146"/>
      <c r="P181" s="182"/>
      <c r="Q181" s="764" t="s">
        <v>16</v>
      </c>
      <c r="R181" s="146"/>
      <c r="S181" s="1821">
        <v>0</v>
      </c>
      <c r="T181" s="1822"/>
      <c r="U181" s="1823"/>
      <c r="V181" s="1870" t="str">
        <f>'III. Inputs, Renewable Energy'!V39</f>
        <v>NA</v>
      </c>
      <c r="W181" s="1871"/>
      <c r="X181" s="1872"/>
    </row>
    <row r="182" spans="1:27" ht="12.75" customHeight="1" x14ac:dyDescent="0.25">
      <c r="A182" s="91"/>
      <c r="B182" s="91"/>
      <c r="C182" s="91"/>
      <c r="D182" s="1927"/>
      <c r="E182" s="1928"/>
      <c r="F182" s="1928"/>
      <c r="G182" s="1928"/>
      <c r="H182" s="1928"/>
      <c r="I182" s="1928"/>
      <c r="J182" s="1928"/>
      <c r="K182" s="1928"/>
      <c r="L182" s="1928"/>
      <c r="M182" s="146"/>
      <c r="N182" s="146" t="s">
        <v>29</v>
      </c>
      <c r="O182" s="146"/>
      <c r="P182" s="182"/>
      <c r="Q182" s="764" t="s">
        <v>20</v>
      </c>
      <c r="R182" s="146"/>
      <c r="S182" s="1815">
        <v>0</v>
      </c>
      <c r="T182" s="1816"/>
      <c r="U182" s="1817"/>
      <c r="V182" s="1679">
        <v>0</v>
      </c>
      <c r="W182" s="1680"/>
      <c r="X182" s="1681"/>
      <c r="Z182" s="799" t="s">
        <v>254</v>
      </c>
      <c r="AA182" s="57" t="s">
        <v>430</v>
      </c>
    </row>
    <row r="183" spans="1:27" ht="12.75" customHeight="1" x14ac:dyDescent="0.25">
      <c r="A183" s="91"/>
      <c r="B183" s="91"/>
      <c r="C183" s="91"/>
      <c r="D183" s="1927"/>
      <c r="E183" s="1928"/>
      <c r="F183" s="1928"/>
      <c r="G183" s="1928"/>
      <c r="H183" s="1928"/>
      <c r="I183" s="1928"/>
      <c r="J183" s="1928"/>
      <c r="K183" s="1928"/>
      <c r="L183" s="1928"/>
      <c r="M183" s="146"/>
      <c r="N183" s="938" t="s">
        <v>407</v>
      </c>
      <c r="O183" s="146"/>
      <c r="P183" s="182"/>
      <c r="Q183" s="764" t="s">
        <v>30</v>
      </c>
      <c r="R183" s="146"/>
      <c r="S183" s="1815">
        <v>0</v>
      </c>
      <c r="T183" s="1816"/>
      <c r="U183" s="1817"/>
      <c r="V183" s="1679">
        <v>0</v>
      </c>
      <c r="W183" s="1680"/>
      <c r="X183" s="1681"/>
    </row>
    <row r="184" spans="1:27" ht="12.75" customHeight="1" x14ac:dyDescent="0.25">
      <c r="D184" s="1927"/>
      <c r="E184" s="1928"/>
      <c r="F184" s="1928"/>
      <c r="G184" s="1928"/>
      <c r="H184" s="1928"/>
      <c r="I184" s="1928"/>
      <c r="J184" s="1928"/>
      <c r="K184" s="1928"/>
      <c r="L184" s="1928"/>
      <c r="M184" s="182"/>
      <c r="N184" s="182" t="s">
        <v>408</v>
      </c>
      <c r="O184" s="182"/>
      <c r="P184" s="182"/>
      <c r="Q184" s="764" t="s">
        <v>16</v>
      </c>
      <c r="R184" s="146"/>
      <c r="S184" s="1821">
        <v>0</v>
      </c>
      <c r="T184" s="1822"/>
      <c r="U184" s="1823"/>
      <c r="V184" s="1682">
        <v>0</v>
      </c>
      <c r="W184" s="1683"/>
      <c r="X184" s="1684"/>
    </row>
    <row r="185" spans="1:27" ht="12.75" customHeight="1" x14ac:dyDescent="0.25">
      <c r="D185" s="1927"/>
      <c r="E185" s="1928"/>
      <c r="F185" s="1928"/>
      <c r="G185" s="1928"/>
      <c r="H185" s="1928"/>
      <c r="I185" s="1928"/>
      <c r="J185" s="1928"/>
      <c r="K185" s="1928"/>
      <c r="L185" s="1928"/>
      <c r="M185" s="182"/>
      <c r="N185" s="182"/>
      <c r="O185" s="938" t="s">
        <v>409</v>
      </c>
      <c r="P185" s="182"/>
      <c r="Q185" s="764" t="s">
        <v>20</v>
      </c>
      <c r="R185" s="146"/>
      <c r="S185" s="1882">
        <f>S182</f>
        <v>0</v>
      </c>
      <c r="T185" s="1883"/>
      <c r="U185" s="1884"/>
      <c r="V185" s="1685">
        <f>'III. Inputs, Renewable Energy'!V182</f>
        <v>0</v>
      </c>
      <c r="W185" s="1686"/>
      <c r="X185" s="1687"/>
      <c r="Z185" s="799" t="s">
        <v>254</v>
      </c>
      <c r="AA185" s="57" t="s">
        <v>351</v>
      </c>
    </row>
    <row r="186" spans="1:27" ht="12.75" customHeight="1" x14ac:dyDescent="0.25">
      <c r="D186" s="1927"/>
      <c r="E186" s="1928"/>
      <c r="F186" s="1928"/>
      <c r="G186" s="1928"/>
      <c r="H186" s="1928"/>
      <c r="I186" s="1928"/>
      <c r="J186" s="1928"/>
      <c r="K186" s="1928"/>
      <c r="L186" s="1928"/>
      <c r="M186" s="182"/>
      <c r="N186" s="182"/>
      <c r="O186" s="938" t="s">
        <v>375</v>
      </c>
      <c r="P186" s="182"/>
      <c r="Q186" s="764" t="s">
        <v>30</v>
      </c>
      <c r="R186" s="146"/>
      <c r="S186" s="1815">
        <v>0</v>
      </c>
      <c r="T186" s="1816"/>
      <c r="U186" s="1817"/>
      <c r="V186" s="1679">
        <v>0</v>
      </c>
      <c r="W186" s="1680"/>
      <c r="X186" s="1681"/>
      <c r="AA186" s="57" t="s">
        <v>352</v>
      </c>
    </row>
    <row r="187" spans="1:27" ht="12.75" customHeight="1" x14ac:dyDescent="0.25">
      <c r="D187" s="1702"/>
      <c r="E187" s="1703"/>
      <c r="F187" s="1703"/>
      <c r="G187" s="1703"/>
      <c r="H187" s="1703"/>
      <c r="I187" s="1703"/>
      <c r="J187" s="1703"/>
      <c r="K187" s="1703"/>
      <c r="L187" s="1703"/>
      <c r="M187" s="857"/>
      <c r="N187" s="857"/>
      <c r="O187" s="941" t="s">
        <v>410</v>
      </c>
      <c r="P187" s="857"/>
      <c r="Q187" s="942" t="s">
        <v>30</v>
      </c>
      <c r="R187" s="943"/>
      <c r="S187" s="1818">
        <v>0</v>
      </c>
      <c r="T187" s="1819"/>
      <c r="U187" s="1820"/>
      <c r="V187" s="1676">
        <v>0</v>
      </c>
      <c r="W187" s="1677"/>
      <c r="X187" s="1678"/>
    </row>
    <row r="188" spans="1:27" ht="12.75" customHeight="1" x14ac:dyDescent="0.25">
      <c r="D188" s="1853" t="str">
        <f>$D$120</f>
        <v>Political Risk</v>
      </c>
      <c r="E188" s="1913"/>
      <c r="F188" s="1913"/>
      <c r="G188" s="1913"/>
      <c r="H188" s="1913"/>
      <c r="I188" s="1913"/>
      <c r="J188" s="1913"/>
      <c r="K188" s="1913"/>
      <c r="L188" s="1913"/>
      <c r="M188" s="930" t="str">
        <f>$M$120</f>
        <v>Political Risk Insurance for Equity Investment</v>
      </c>
      <c r="N188" s="929"/>
      <c r="O188" s="929"/>
      <c r="P188" s="931"/>
      <c r="Q188" s="937"/>
      <c r="R188" s="937"/>
      <c r="S188" s="1809"/>
      <c r="T188" s="1810"/>
      <c r="U188" s="1811"/>
      <c r="V188" s="1873"/>
      <c r="W188" s="1874"/>
      <c r="X188" s="1875"/>
    </row>
    <row r="189" spans="1:27" ht="12.75" customHeight="1" x14ac:dyDescent="0.25">
      <c r="D189" s="1927"/>
      <c r="E189" s="1928"/>
      <c r="F189" s="1928"/>
      <c r="G189" s="1928"/>
      <c r="H189" s="1928"/>
      <c r="I189" s="1928"/>
      <c r="J189" s="1928"/>
      <c r="K189" s="1928"/>
      <c r="L189" s="1928"/>
      <c r="M189" s="181"/>
      <c r="N189" s="182" t="s">
        <v>377</v>
      </c>
      <c r="O189" s="181"/>
      <c r="P189" s="944"/>
      <c r="Q189" s="146"/>
      <c r="R189" s="146"/>
      <c r="S189" s="1910">
        <v>0</v>
      </c>
      <c r="T189" s="1911"/>
      <c r="U189" s="1912"/>
      <c r="V189" s="1907">
        <v>0</v>
      </c>
      <c r="W189" s="1908"/>
      <c r="X189" s="1909"/>
    </row>
    <row r="190" spans="1:27" ht="12.75" customHeight="1" x14ac:dyDescent="0.25">
      <c r="D190" s="1927"/>
      <c r="E190" s="1928"/>
      <c r="F190" s="1928"/>
      <c r="G190" s="1928"/>
      <c r="H190" s="1928"/>
      <c r="I190" s="1928"/>
      <c r="J190" s="1928"/>
      <c r="K190" s="1928"/>
      <c r="L190" s="1928"/>
      <c r="M190" s="182"/>
      <c r="N190" s="938" t="s">
        <v>209</v>
      </c>
      <c r="O190" s="182"/>
      <c r="P190" s="182"/>
      <c r="Q190" s="764" t="s">
        <v>20</v>
      </c>
      <c r="R190" s="146"/>
      <c r="S190" s="1894">
        <v>0</v>
      </c>
      <c r="T190" s="1895"/>
      <c r="U190" s="1896"/>
      <c r="V190" s="1891">
        <v>0</v>
      </c>
      <c r="W190" s="1892"/>
      <c r="X190" s="1893"/>
    </row>
    <row r="191" spans="1:27" ht="12.75" customHeight="1" x14ac:dyDescent="0.25">
      <c r="D191" s="1927"/>
      <c r="E191" s="1928"/>
      <c r="F191" s="1928"/>
      <c r="G191" s="1928"/>
      <c r="H191" s="1928"/>
      <c r="I191" s="1928"/>
      <c r="J191" s="1928"/>
      <c r="K191" s="1928"/>
      <c r="L191" s="1928"/>
      <c r="M191" s="182"/>
      <c r="N191" s="938" t="s">
        <v>210</v>
      </c>
      <c r="O191" s="182"/>
      <c r="P191" s="182"/>
      <c r="Q191" s="764" t="s">
        <v>30</v>
      </c>
      <c r="R191" s="146"/>
      <c r="S191" s="1894">
        <v>0</v>
      </c>
      <c r="T191" s="1895"/>
      <c r="U191" s="1896"/>
      <c r="V191" s="1891">
        <v>0</v>
      </c>
      <c r="W191" s="1892"/>
      <c r="X191" s="1893"/>
    </row>
    <row r="192" spans="1:27" ht="12.75" customHeight="1" x14ac:dyDescent="0.25">
      <c r="D192" s="1702"/>
      <c r="E192" s="1703"/>
      <c r="F192" s="1703"/>
      <c r="G192" s="1703"/>
      <c r="H192" s="1703"/>
      <c r="I192" s="1703"/>
      <c r="J192" s="1703"/>
      <c r="K192" s="1703"/>
      <c r="L192" s="1703"/>
      <c r="M192" s="857"/>
      <c r="N192" s="941" t="s">
        <v>211</v>
      </c>
      <c r="O192" s="857"/>
      <c r="P192" s="857"/>
      <c r="Q192" s="942" t="s">
        <v>30</v>
      </c>
      <c r="R192" s="943"/>
      <c r="S192" s="1827">
        <v>0</v>
      </c>
      <c r="T192" s="1828"/>
      <c r="U192" s="1829"/>
      <c r="V192" s="1922">
        <v>0</v>
      </c>
      <c r="W192" s="1923"/>
      <c r="X192" s="1924"/>
    </row>
    <row r="193" spans="1:27" x14ac:dyDescent="0.25">
      <c r="P193" s="146"/>
      <c r="Q193" s="146"/>
      <c r="R193" s="146"/>
      <c r="S193" s="182"/>
      <c r="T193" s="146"/>
    </row>
    <row r="194" spans="1:27" x14ac:dyDescent="0.25">
      <c r="P194" s="146"/>
      <c r="Q194" s="146"/>
      <c r="R194" s="146"/>
      <c r="S194" s="182"/>
      <c r="T194" s="146"/>
    </row>
    <row r="195" spans="1:27" ht="15" customHeight="1" x14ac:dyDescent="0.25">
      <c r="A195" s="91"/>
      <c r="C195" s="56" t="s">
        <v>448</v>
      </c>
      <c r="D195" s="56"/>
    </row>
    <row r="196" spans="1:27" x14ac:dyDescent="0.25">
      <c r="P196" s="125"/>
      <c r="S196" s="182"/>
    </row>
    <row r="197" spans="1:27" x14ac:dyDescent="0.25">
      <c r="D197" s="867" t="s">
        <v>87</v>
      </c>
      <c r="E197" s="868"/>
      <c r="F197" s="868"/>
      <c r="G197" s="868"/>
      <c r="H197" s="868"/>
      <c r="I197" s="868"/>
      <c r="J197" s="868"/>
      <c r="K197" s="868"/>
      <c r="L197" s="868"/>
      <c r="M197" s="1663" t="s">
        <v>347</v>
      </c>
      <c r="N197" s="1663"/>
      <c r="O197" s="1663"/>
      <c r="P197" s="1663"/>
      <c r="Q197" s="868"/>
      <c r="R197" s="868"/>
      <c r="S197" s="81"/>
      <c r="T197" s="893"/>
      <c r="U197" s="1651" t="s">
        <v>464</v>
      </c>
      <c r="V197" s="1652"/>
    </row>
    <row r="198" spans="1:27" x14ac:dyDescent="0.25">
      <c r="D198" s="1853" t="str">
        <f>$D$116</f>
        <v>Financial Sector Risk</v>
      </c>
      <c r="E198" s="1913"/>
      <c r="F198" s="1913"/>
      <c r="G198" s="1913"/>
      <c r="H198" s="1913"/>
      <c r="I198" s="1913"/>
      <c r="J198" s="1913"/>
      <c r="K198" s="1913"/>
      <c r="L198" s="1913"/>
      <c r="M198" s="182" t="s">
        <v>217</v>
      </c>
      <c r="N198" s="901"/>
      <c r="O198" s="901"/>
      <c r="P198" s="945"/>
      <c r="Q198" s="901"/>
      <c r="R198" s="901"/>
      <c r="S198" s="901"/>
      <c r="T198" s="901"/>
      <c r="U198" s="946"/>
      <c r="V198" s="947"/>
    </row>
    <row r="199" spans="1:27" x14ac:dyDescent="0.25">
      <c r="D199" s="1702"/>
      <c r="E199" s="1703"/>
      <c r="F199" s="1703"/>
      <c r="G199" s="1703"/>
      <c r="H199" s="1703"/>
      <c r="I199" s="1703"/>
      <c r="J199" s="1703"/>
      <c r="K199" s="1703"/>
      <c r="L199" s="1703"/>
      <c r="N199" s="182"/>
      <c r="O199" s="182" t="s">
        <v>412</v>
      </c>
      <c r="P199" s="182"/>
      <c r="Q199" s="762" t="s">
        <v>16</v>
      </c>
      <c r="R199" s="182"/>
      <c r="S199" s="182"/>
      <c r="T199" s="182"/>
      <c r="U199" s="1795">
        <v>1</v>
      </c>
      <c r="V199" s="1796"/>
    </row>
    <row r="200" spans="1:27" ht="15" customHeight="1" x14ac:dyDescent="0.25">
      <c r="D200" s="1853" t="str">
        <f>$D$116</f>
        <v>Financial Sector Risk</v>
      </c>
      <c r="E200" s="1913"/>
      <c r="F200" s="1913"/>
      <c r="G200" s="1913"/>
      <c r="H200" s="1913"/>
      <c r="I200" s="1913"/>
      <c r="J200" s="1913"/>
      <c r="K200" s="1913"/>
      <c r="L200" s="1913"/>
      <c r="M200" s="901" t="s">
        <v>187</v>
      </c>
      <c r="N200" s="901"/>
      <c r="O200" s="901"/>
      <c r="P200" s="901"/>
      <c r="Q200" s="901"/>
      <c r="R200" s="901"/>
      <c r="S200" s="901"/>
      <c r="T200" s="948"/>
      <c r="V200" s="949"/>
    </row>
    <row r="201" spans="1:27" ht="15" customHeight="1" x14ac:dyDescent="0.25">
      <c r="D201" s="1702"/>
      <c r="E201" s="1703"/>
      <c r="F201" s="1703"/>
      <c r="G201" s="1703"/>
      <c r="H201" s="1703"/>
      <c r="I201" s="1703"/>
      <c r="J201" s="1703"/>
      <c r="K201" s="1703"/>
      <c r="L201" s="1703"/>
      <c r="M201" s="857"/>
      <c r="N201" s="857"/>
      <c r="O201" s="857" t="s">
        <v>413</v>
      </c>
      <c r="P201" s="857"/>
      <c r="Q201" s="950" t="s">
        <v>16</v>
      </c>
      <c r="R201" s="857"/>
      <c r="S201" s="857"/>
      <c r="T201" s="951"/>
      <c r="U201" s="1795">
        <v>0.5</v>
      </c>
      <c r="V201" s="1796"/>
    </row>
    <row r="202" spans="1:27" ht="15" customHeight="1" x14ac:dyDescent="0.25">
      <c r="D202" s="1853" t="str">
        <f>$D$120</f>
        <v>Political Risk</v>
      </c>
      <c r="E202" s="1913"/>
      <c r="F202" s="1913"/>
      <c r="G202" s="1913"/>
      <c r="H202" s="1913"/>
      <c r="I202" s="1913"/>
      <c r="J202" s="1913"/>
      <c r="K202" s="1913"/>
      <c r="L202" s="1913"/>
      <c r="M202" s="901" t="s">
        <v>411</v>
      </c>
      <c r="N202" s="901"/>
      <c r="O202" s="901"/>
      <c r="P202" s="901"/>
      <c r="Q202" s="952"/>
      <c r="R202" s="901"/>
      <c r="S202" s="901"/>
      <c r="T202" s="948"/>
      <c r="U202" s="953"/>
      <c r="V202" s="954"/>
    </row>
    <row r="203" spans="1:27" ht="15" customHeight="1" x14ac:dyDescent="0.25">
      <c r="D203" s="1702"/>
      <c r="E203" s="1703"/>
      <c r="F203" s="1703"/>
      <c r="G203" s="1703"/>
      <c r="H203" s="1703"/>
      <c r="I203" s="1703"/>
      <c r="J203" s="1703"/>
      <c r="K203" s="1703"/>
      <c r="L203" s="1703"/>
      <c r="M203" s="857"/>
      <c r="N203" s="857"/>
      <c r="O203" s="857" t="s">
        <v>414</v>
      </c>
      <c r="P203" s="857"/>
      <c r="Q203" s="950" t="s">
        <v>16</v>
      </c>
      <c r="R203" s="857"/>
      <c r="S203" s="857"/>
      <c r="T203" s="951"/>
      <c r="U203" s="1795">
        <v>0.1</v>
      </c>
      <c r="V203" s="1796"/>
    </row>
    <row r="204" spans="1:27" x14ac:dyDescent="0.25">
      <c r="Q204" s="68"/>
      <c r="T204" s="68"/>
      <c r="U204" s="81"/>
      <c r="V204" s="81"/>
    </row>
    <row r="205" spans="1:27" x14ac:dyDescent="0.25">
      <c r="D205" s="955" t="s">
        <v>415</v>
      </c>
      <c r="E205" s="901"/>
      <c r="F205" s="901"/>
      <c r="G205" s="901"/>
      <c r="H205" s="901"/>
      <c r="I205" s="901"/>
      <c r="J205" s="901"/>
      <c r="K205" s="901"/>
      <c r="L205" s="901"/>
      <c r="M205" s="901"/>
      <c r="N205" s="901"/>
      <c r="O205" s="901"/>
      <c r="P205" s="901"/>
      <c r="Q205" s="952"/>
      <c r="R205" s="901"/>
      <c r="S205" s="901"/>
      <c r="T205" s="952"/>
      <c r="U205" s="955"/>
      <c r="V205" s="949"/>
      <c r="Z205" s="799" t="s">
        <v>255</v>
      </c>
      <c r="AA205" s="957" t="s">
        <v>505</v>
      </c>
    </row>
    <row r="206" spans="1:27" ht="15" customHeight="1" x14ac:dyDescent="0.25">
      <c r="D206" s="939"/>
      <c r="E206" s="182" t="s">
        <v>416</v>
      </c>
      <c r="F206" s="182"/>
      <c r="G206" s="182"/>
      <c r="H206" s="182"/>
      <c r="I206" s="182"/>
      <c r="J206" s="182"/>
      <c r="K206" s="182"/>
      <c r="L206" s="182"/>
      <c r="M206" s="182"/>
      <c r="N206" s="182"/>
      <c r="O206" s="182"/>
      <c r="P206" s="182"/>
      <c r="Q206" s="182"/>
      <c r="R206" s="182"/>
      <c r="S206" s="182"/>
      <c r="T206" s="956"/>
      <c r="U206" s="1797" t="s">
        <v>184</v>
      </c>
      <c r="V206" s="1798"/>
      <c r="AA206" s="57" t="s">
        <v>506</v>
      </c>
    </row>
    <row r="207" spans="1:27" ht="15" customHeight="1" x14ac:dyDescent="0.25">
      <c r="D207" s="940"/>
      <c r="E207" s="857" t="s">
        <v>417</v>
      </c>
      <c r="F207" s="857"/>
      <c r="G207" s="857"/>
      <c r="H207" s="857"/>
      <c r="I207" s="857"/>
      <c r="J207" s="857"/>
      <c r="K207" s="857"/>
      <c r="L207" s="857"/>
      <c r="M207" s="857"/>
      <c r="N207" s="857"/>
      <c r="O207" s="857"/>
      <c r="P207" s="857"/>
      <c r="Q207" s="950" t="s">
        <v>245</v>
      </c>
      <c r="R207" s="857"/>
      <c r="S207" s="857"/>
      <c r="T207" s="958"/>
      <c r="U207" s="1914">
        <v>1</v>
      </c>
      <c r="V207" s="1915"/>
      <c r="Z207" s="799" t="s">
        <v>255</v>
      </c>
      <c r="AA207" s="957" t="s">
        <v>185</v>
      </c>
    </row>
    <row r="208" spans="1:27" x14ac:dyDescent="0.25">
      <c r="T208" s="959"/>
    </row>
    <row r="209" spans="1:27" x14ac:dyDescent="0.25">
      <c r="Q209" s="68"/>
      <c r="S209" s="960"/>
    </row>
    <row r="210" spans="1:27" s="146" customFormat="1" ht="12.75" customHeight="1" x14ac:dyDescent="0.25">
      <c r="A210" s="782" t="s">
        <v>220</v>
      </c>
      <c r="B210" s="782"/>
      <c r="C210" s="782"/>
      <c r="D210" s="782"/>
      <c r="E210" s="782"/>
      <c r="F210" s="782"/>
      <c r="G210" s="782"/>
      <c r="H210" s="782"/>
      <c r="I210" s="782"/>
      <c r="J210" s="782"/>
      <c r="K210" s="782"/>
      <c r="L210" s="782"/>
      <c r="M210" s="785"/>
      <c r="N210" s="783"/>
      <c r="O210" s="783"/>
      <c r="P210" s="783"/>
      <c r="Q210" s="783"/>
      <c r="R210" s="783"/>
      <c r="S210" s="783"/>
      <c r="T210" s="783"/>
      <c r="U210" s="783"/>
      <c r="V210" s="783"/>
      <c r="W210" s="783"/>
      <c r="X210" s="783"/>
      <c r="Y210" s="783"/>
      <c r="Z210" s="783"/>
    </row>
    <row r="211" spans="1:27" ht="12.75" customHeight="1" x14ac:dyDescent="0.25"/>
    <row r="212" spans="1:27" ht="12.75" customHeight="1" x14ac:dyDescent="0.25">
      <c r="B212" s="55" t="s">
        <v>450</v>
      </c>
      <c r="C212" s="55"/>
      <c r="D212" s="81"/>
      <c r="E212" s="81"/>
      <c r="F212" s="81"/>
      <c r="G212" s="81"/>
      <c r="H212" s="81"/>
      <c r="I212" s="81"/>
      <c r="J212" s="81"/>
      <c r="K212" s="81"/>
      <c r="L212" s="81"/>
      <c r="M212" s="55"/>
      <c r="N212" s="55"/>
      <c r="O212" s="55"/>
      <c r="P212" s="788"/>
      <c r="Q212" s="788"/>
      <c r="R212" s="788"/>
      <c r="S212" s="788"/>
      <c r="T212" s="788"/>
      <c r="U212" s="788"/>
      <c r="V212" s="788"/>
      <c r="W212" s="788"/>
      <c r="X212" s="788"/>
      <c r="Y212" s="788"/>
      <c r="Z212" s="788"/>
    </row>
    <row r="213" spans="1:27" ht="12.75" customHeight="1" x14ac:dyDescent="0.25"/>
    <row r="214" spans="1:27" ht="12.75" customHeight="1" x14ac:dyDescent="0.25">
      <c r="Q214" s="68"/>
      <c r="R214" s="68"/>
      <c r="S214" s="961"/>
      <c r="T214" s="961"/>
      <c r="U214" s="1651" t="s">
        <v>464</v>
      </c>
      <c r="V214" s="1652"/>
    </row>
    <row r="215" spans="1:27" ht="12.75" customHeight="1" x14ac:dyDescent="0.25">
      <c r="D215" s="57" t="s">
        <v>35</v>
      </c>
      <c r="Q215" s="68" t="s">
        <v>439</v>
      </c>
      <c r="R215" s="68"/>
      <c r="T215" s="962"/>
      <c r="U215" s="1916">
        <f>8760*$U$16</f>
        <v>0</v>
      </c>
      <c r="V215" s="1917"/>
    </row>
    <row r="216" spans="1:27" ht="12.75" customHeight="1" x14ac:dyDescent="0.25">
      <c r="D216" s="57" t="s">
        <v>36</v>
      </c>
      <c r="G216" s="59"/>
      <c r="Q216" s="68" t="s">
        <v>16</v>
      </c>
      <c r="R216" s="68"/>
      <c r="T216" s="963"/>
      <c r="U216" s="1918">
        <f>U215/(24*365)</f>
        <v>0</v>
      </c>
      <c r="V216" s="1919"/>
    </row>
    <row r="217" spans="1:27" ht="12.75" customHeight="1" x14ac:dyDescent="0.25">
      <c r="D217" s="57" t="s">
        <v>13</v>
      </c>
      <c r="Q217" s="68" t="s">
        <v>16</v>
      </c>
      <c r="T217" s="964"/>
      <c r="U217" s="1920">
        <v>1</v>
      </c>
      <c r="V217" s="1921"/>
    </row>
    <row r="218" spans="1:27" ht="12.75" customHeight="1" x14ac:dyDescent="0.25">
      <c r="Q218" s="68"/>
    </row>
    <row r="219" spans="1:27" ht="12.75" customHeight="1" x14ac:dyDescent="0.25">
      <c r="P219" s="182"/>
      <c r="Q219" s="762"/>
      <c r="R219" s="182"/>
      <c r="S219" s="182"/>
      <c r="T219" s="182"/>
    </row>
    <row r="220" spans="1:27" ht="12.75" customHeight="1" x14ac:dyDescent="0.25">
      <c r="B220" s="55" t="s">
        <v>451</v>
      </c>
      <c r="C220" s="55"/>
      <c r="D220" s="81"/>
      <c r="E220" s="81"/>
      <c r="F220" s="81"/>
      <c r="G220" s="81"/>
      <c r="H220" s="81"/>
      <c r="I220" s="81"/>
      <c r="J220" s="81"/>
      <c r="K220" s="81"/>
      <c r="L220" s="81"/>
      <c r="M220" s="55"/>
      <c r="N220" s="55"/>
      <c r="O220" s="55"/>
      <c r="P220" s="788"/>
      <c r="Q220" s="788"/>
      <c r="R220" s="788"/>
      <c r="S220" s="788"/>
      <c r="T220" s="788"/>
      <c r="U220" s="788"/>
      <c r="V220" s="788"/>
      <c r="W220" s="788"/>
      <c r="X220" s="788"/>
      <c r="Y220" s="788"/>
      <c r="Z220" s="788"/>
    </row>
    <row r="221" spans="1:27" ht="12.75" customHeight="1" x14ac:dyDescent="0.25">
      <c r="P221" s="182"/>
      <c r="Q221" s="762"/>
      <c r="R221" s="182"/>
      <c r="S221" s="182"/>
      <c r="T221" s="182"/>
    </row>
    <row r="222" spans="1:27" ht="12.75" customHeight="1" x14ac:dyDescent="0.25">
      <c r="B222" s="56"/>
      <c r="C222" s="56"/>
      <c r="P222" s="827"/>
      <c r="Q222" s="84"/>
      <c r="R222" s="84"/>
      <c r="S222" s="1716" t="s">
        <v>200</v>
      </c>
      <c r="T222" s="1717"/>
      <c r="U222" s="1718"/>
      <c r="V222" s="1688" t="s">
        <v>341</v>
      </c>
      <c r="W222" s="1689"/>
      <c r="X222" s="1690"/>
    </row>
    <row r="223" spans="1:27" ht="12.75" customHeight="1" x14ac:dyDescent="0.25">
      <c r="P223" s="838"/>
      <c r="Q223" s="182"/>
      <c r="R223" s="182"/>
      <c r="S223" s="1952"/>
      <c r="T223" s="1953"/>
      <c r="U223" s="1954"/>
      <c r="V223" s="1719"/>
      <c r="W223" s="1720"/>
      <c r="X223" s="1721"/>
    </row>
    <row r="224" spans="1:27" ht="12.75" customHeight="1" x14ac:dyDescent="0.25">
      <c r="D224" s="57" t="s">
        <v>246</v>
      </c>
      <c r="S224" s="1955" t="s">
        <v>24</v>
      </c>
      <c r="T224" s="1956"/>
      <c r="U224" s="1957"/>
      <c r="V224" s="1958" t="s">
        <v>24</v>
      </c>
      <c r="W224" s="1959"/>
      <c r="X224" s="1960"/>
      <c r="AA224" s="59"/>
    </row>
    <row r="225" spans="2:27" ht="12.75" customHeight="1" x14ac:dyDescent="0.25">
      <c r="R225" s="68"/>
      <c r="S225" s="1670"/>
      <c r="T225" s="1671"/>
      <c r="U225" s="1672"/>
      <c r="V225" s="1719"/>
      <c r="W225" s="1720"/>
      <c r="X225" s="1721"/>
    </row>
    <row r="226" spans="2:27" ht="12.75" customHeight="1" x14ac:dyDescent="0.25">
      <c r="E226" s="57" t="s">
        <v>25</v>
      </c>
      <c r="R226" s="68"/>
      <c r="S226" s="1670"/>
      <c r="T226" s="1671"/>
      <c r="U226" s="1672"/>
      <c r="V226" s="965"/>
      <c r="W226" s="966"/>
      <c r="X226" s="967"/>
    </row>
    <row r="227" spans="2:27" ht="12.75" customHeight="1" x14ac:dyDescent="0.25">
      <c r="F227" s="57" t="s">
        <v>43</v>
      </c>
      <c r="Q227" s="68" t="s">
        <v>154</v>
      </c>
      <c r="S227" s="1864">
        <v>0</v>
      </c>
      <c r="T227" s="1865"/>
      <c r="U227" s="1866"/>
      <c r="V227" s="1961">
        <v>0</v>
      </c>
      <c r="W227" s="1962"/>
      <c r="X227" s="1963"/>
    </row>
    <row r="228" spans="2:27" ht="12.75" customHeight="1" x14ac:dyDescent="0.25">
      <c r="F228" s="57" t="s">
        <v>45</v>
      </c>
      <c r="Q228" s="68" t="s">
        <v>16</v>
      </c>
      <c r="S228" s="1867">
        <v>0</v>
      </c>
      <c r="T228" s="1868"/>
      <c r="U228" s="1869"/>
      <c r="V228" s="1904">
        <v>0</v>
      </c>
      <c r="W228" s="1905"/>
      <c r="X228" s="1906"/>
    </row>
    <row r="229" spans="2:27" ht="12.75" customHeight="1" x14ac:dyDescent="0.25">
      <c r="S229" s="1670"/>
      <c r="T229" s="1671"/>
      <c r="U229" s="1672"/>
      <c r="V229" s="1719"/>
      <c r="W229" s="1720"/>
      <c r="X229" s="1721"/>
    </row>
    <row r="230" spans="2:27" ht="12.75" customHeight="1" x14ac:dyDescent="0.25">
      <c r="D230" s="56" t="s">
        <v>21</v>
      </c>
      <c r="S230" s="1670"/>
      <c r="T230" s="1671"/>
      <c r="U230" s="1672"/>
      <c r="V230" s="1719"/>
      <c r="W230" s="1720"/>
      <c r="X230" s="1721"/>
    </row>
    <row r="231" spans="2:27" ht="12.75" customHeight="1" x14ac:dyDescent="0.25">
      <c r="E231" s="57" t="s">
        <v>57</v>
      </c>
      <c r="Q231" s="68" t="s">
        <v>16</v>
      </c>
      <c r="S231" s="1897">
        <v>0.95</v>
      </c>
      <c r="T231" s="1898"/>
      <c r="U231" s="1899"/>
      <c r="V231" s="1946">
        <v>0.95</v>
      </c>
      <c r="W231" s="1947"/>
      <c r="X231" s="1948"/>
    </row>
    <row r="232" spans="2:27" ht="12.75" customHeight="1" x14ac:dyDescent="0.25">
      <c r="D232" s="182"/>
      <c r="E232" s="182" t="s">
        <v>18</v>
      </c>
      <c r="F232" s="182"/>
      <c r="G232" s="182"/>
      <c r="H232" s="182"/>
      <c r="I232" s="182"/>
      <c r="J232" s="182"/>
      <c r="K232" s="182"/>
      <c r="L232" s="182"/>
      <c r="M232" s="182"/>
      <c r="N232" s="182"/>
      <c r="O232" s="182"/>
      <c r="P232" s="182"/>
      <c r="Q232" s="762" t="s">
        <v>16</v>
      </c>
      <c r="R232" s="182"/>
      <c r="S232" s="1900">
        <v>0.05</v>
      </c>
      <c r="T232" s="1901"/>
      <c r="U232" s="1902"/>
      <c r="V232" s="1949">
        <v>0.05</v>
      </c>
      <c r="W232" s="1950"/>
      <c r="X232" s="1951"/>
      <c r="Y232" s="939"/>
      <c r="Z232" s="799" t="s">
        <v>255</v>
      </c>
      <c r="AA232" s="957" t="s">
        <v>427</v>
      </c>
    </row>
    <row r="233" spans="2:27" ht="12.75" customHeight="1" x14ac:dyDescent="0.25">
      <c r="Q233" s="968"/>
      <c r="R233" s="969" t="s">
        <v>167</v>
      </c>
      <c r="S233" s="1903" t="str">
        <f>IF(SUM(S231:U232)=100%, "", "Sum must equal 100%")</f>
        <v/>
      </c>
      <c r="T233" s="1903"/>
      <c r="U233" s="1903"/>
      <c r="V233" s="1903" t="str">
        <f>IF(SUM(V231:X232)=100%, "", "Sum must equal 100%")</f>
        <v/>
      </c>
      <c r="W233" s="1903"/>
      <c r="X233" s="1903"/>
    </row>
    <row r="234" spans="2:27" x14ac:dyDescent="0.25"/>
    <row r="235" spans="2:27" x14ac:dyDescent="0.25">
      <c r="B235" s="55" t="s">
        <v>507</v>
      </c>
      <c r="C235" s="55"/>
      <c r="D235" s="81"/>
      <c r="E235" s="81"/>
      <c r="F235" s="81"/>
      <c r="G235" s="81"/>
      <c r="H235" s="81"/>
      <c r="I235" s="81"/>
      <c r="J235" s="81"/>
      <c r="K235" s="81"/>
      <c r="L235" s="81"/>
      <c r="M235" s="55"/>
      <c r="N235" s="55"/>
      <c r="O235" s="55"/>
      <c r="P235" s="788"/>
      <c r="Q235" s="788"/>
      <c r="R235" s="788"/>
      <c r="S235" s="788"/>
      <c r="T235" s="788"/>
      <c r="U235" s="788"/>
      <c r="V235" s="788"/>
      <c r="W235" s="788"/>
      <c r="X235" s="788"/>
      <c r="Y235" s="788"/>
      <c r="Z235" s="788"/>
    </row>
    <row r="236" spans="2:27" x14ac:dyDescent="0.25"/>
    <row r="237" spans="2:27" x14ac:dyDescent="0.25">
      <c r="U237" s="1651" t="s">
        <v>464</v>
      </c>
      <c r="V237" s="1652"/>
    </row>
    <row r="238" spans="2:27" x14ac:dyDescent="0.25">
      <c r="D238" s="57" t="s">
        <v>597</v>
      </c>
      <c r="Q238" s="68" t="s">
        <v>154</v>
      </c>
      <c r="U238" s="1934">
        <v>0</v>
      </c>
      <c r="V238" s="1935"/>
      <c r="W238" s="1174"/>
    </row>
    <row r="239" spans="2:27" x14ac:dyDescent="0.25">
      <c r="D239" s="57" t="s">
        <v>454</v>
      </c>
      <c r="Q239" s="68" t="s">
        <v>456</v>
      </c>
      <c r="U239" s="1862">
        <v>0</v>
      </c>
      <c r="V239" s="1936"/>
    </row>
    <row r="240" spans="2:27" x14ac:dyDescent="0.25">
      <c r="D240" s="57" t="s">
        <v>452</v>
      </c>
      <c r="Q240" s="68" t="s">
        <v>453</v>
      </c>
      <c r="U240" s="1862">
        <v>0</v>
      </c>
      <c r="V240" s="1936"/>
    </row>
    <row r="241" spans="4:22" ht="14.4" x14ac:dyDescent="0.3">
      <c r="D241" s="57" t="s">
        <v>599</v>
      </c>
      <c r="Q241" s="68" t="s">
        <v>598</v>
      </c>
      <c r="U241" s="1862">
        <v>0</v>
      </c>
      <c r="V241" s="1863"/>
    </row>
    <row r="242" spans="4:22" x14ac:dyDescent="0.25">
      <c r="D242" s="57" t="s">
        <v>612</v>
      </c>
      <c r="Q242" s="68" t="s">
        <v>15</v>
      </c>
      <c r="U242" s="1932">
        <v>0</v>
      </c>
      <c r="V242" s="1933"/>
    </row>
    <row r="243" spans="4:22" ht="14.4" x14ac:dyDescent="0.3">
      <c r="D243" s="57" t="s">
        <v>455</v>
      </c>
      <c r="Q243" s="68" t="s">
        <v>154</v>
      </c>
      <c r="U243" s="1930">
        <v>0</v>
      </c>
      <c r="V243" s="1931"/>
    </row>
    <row r="244" spans="4:22" x14ac:dyDescent="0.25"/>
    <row r="245" spans="4:22" x14ac:dyDescent="0.25">
      <c r="U245" s="1651" t="s">
        <v>464</v>
      </c>
      <c r="V245" s="1652"/>
    </row>
    <row r="246" spans="4:22" x14ac:dyDescent="0.25">
      <c r="D246" s="57" t="s">
        <v>609</v>
      </c>
      <c r="Q246" s="68" t="s">
        <v>154</v>
      </c>
      <c r="U246" s="1653">
        <f>IF(U243=0,0,U238*U240*U241*(U14/U243))</f>
        <v>0</v>
      </c>
      <c r="V246" s="1654"/>
    </row>
    <row r="247" spans="4:22" x14ac:dyDescent="0.25">
      <c r="D247" s="57" t="s">
        <v>610</v>
      </c>
      <c r="Q247" s="68" t="s">
        <v>154</v>
      </c>
      <c r="U247" s="1655">
        <f>IF(U243=0,0,U242*(U14/U243))</f>
        <v>0</v>
      </c>
      <c r="V247" s="1656"/>
    </row>
    <row r="248" spans="4:22" x14ac:dyDescent="0.25">
      <c r="D248" s="57" t="s">
        <v>611</v>
      </c>
      <c r="Q248" s="68" t="s">
        <v>154</v>
      </c>
      <c r="U248" s="1657">
        <f>SUM(U246:V247)</f>
        <v>0</v>
      </c>
      <c r="V248" s="1658"/>
    </row>
    <row r="249" spans="4:22" x14ac:dyDescent="0.25"/>
    <row r="250" spans="4:22" x14ac:dyDescent="0.25"/>
    <row r="251" spans="4:22" x14ac:dyDescent="0.25"/>
    <row r="252" spans="4:22" x14ac:dyDescent="0.25"/>
    <row r="253" spans="4:22" x14ac:dyDescent="0.25"/>
    <row r="254" spans="4:22" x14ac:dyDescent="0.25"/>
    <row r="255" spans="4:22" x14ac:dyDescent="0.25"/>
    <row r="256" spans="4:22"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sheetData>
  <sheetProtection formatCells="0" formatColumns="0" formatRows="0" insertColumns="0" insertRows="0"/>
  <mergeCells count="307">
    <mergeCell ref="U16:V16"/>
    <mergeCell ref="U243:V243"/>
    <mergeCell ref="U242:V242"/>
    <mergeCell ref="U238:V238"/>
    <mergeCell ref="U239:V239"/>
    <mergeCell ref="U240:V240"/>
    <mergeCell ref="D170:L170"/>
    <mergeCell ref="M170:P170"/>
    <mergeCell ref="S176:U176"/>
    <mergeCell ref="S177:U177"/>
    <mergeCell ref="S178:U178"/>
    <mergeCell ref="V231:X231"/>
    <mergeCell ref="V232:X232"/>
    <mergeCell ref="V233:X233"/>
    <mergeCell ref="V230:X230"/>
    <mergeCell ref="V225:X225"/>
    <mergeCell ref="V223:X223"/>
    <mergeCell ref="V229:X229"/>
    <mergeCell ref="S222:U222"/>
    <mergeCell ref="S223:U223"/>
    <mergeCell ref="S224:U224"/>
    <mergeCell ref="V222:X222"/>
    <mergeCell ref="V224:X224"/>
    <mergeCell ref="V227:X227"/>
    <mergeCell ref="D169:L169"/>
    <mergeCell ref="M169:P169"/>
    <mergeCell ref="U237:V237"/>
    <mergeCell ref="D156:L156"/>
    <mergeCell ref="S121:U121"/>
    <mergeCell ref="S115:U115"/>
    <mergeCell ref="V152:Y152"/>
    <mergeCell ref="D118:L119"/>
    <mergeCell ref="M128:Q128"/>
    <mergeCell ref="M116:Q116"/>
    <mergeCell ref="M118:Q118"/>
    <mergeCell ref="M120:Q120"/>
    <mergeCell ref="N119:Q119"/>
    <mergeCell ref="N117:Q117"/>
    <mergeCell ref="D134:L134"/>
    <mergeCell ref="D131:L131"/>
    <mergeCell ref="D130:L130"/>
    <mergeCell ref="M175:P175"/>
    <mergeCell ref="M129:Q129"/>
    <mergeCell ref="M130:Q130"/>
    <mergeCell ref="M145:P145"/>
    <mergeCell ref="D180:L187"/>
    <mergeCell ref="D188:L192"/>
    <mergeCell ref="D198:L199"/>
    <mergeCell ref="D202:L203"/>
    <mergeCell ref="U207:V207"/>
    <mergeCell ref="U214:V214"/>
    <mergeCell ref="U215:V215"/>
    <mergeCell ref="U216:V216"/>
    <mergeCell ref="U217:V217"/>
    <mergeCell ref="U203:V203"/>
    <mergeCell ref="V192:X192"/>
    <mergeCell ref="D200:L201"/>
    <mergeCell ref="V191:X191"/>
    <mergeCell ref="S191:U191"/>
    <mergeCell ref="V190:X190"/>
    <mergeCell ref="S190:U190"/>
    <mergeCell ref="S231:U231"/>
    <mergeCell ref="S232:U232"/>
    <mergeCell ref="S233:U233"/>
    <mergeCell ref="V228:X228"/>
    <mergeCell ref="V189:X189"/>
    <mergeCell ref="S189:U189"/>
    <mergeCell ref="U241:V241"/>
    <mergeCell ref="V114:X114"/>
    <mergeCell ref="V115:X115"/>
    <mergeCell ref="V121:X121"/>
    <mergeCell ref="S227:U227"/>
    <mergeCell ref="S226:U226"/>
    <mergeCell ref="S225:U225"/>
    <mergeCell ref="S229:U229"/>
    <mergeCell ref="S230:U230"/>
    <mergeCell ref="S228:U228"/>
    <mergeCell ref="S188:U188"/>
    <mergeCell ref="V181:X181"/>
    <mergeCell ref="V180:X180"/>
    <mergeCell ref="V179:X179"/>
    <mergeCell ref="V176:X176"/>
    <mergeCell ref="S185:U185"/>
    <mergeCell ref="V188:X188"/>
    <mergeCell ref="V127:Y127"/>
    <mergeCell ref="S153:U153"/>
    <mergeCell ref="R152:U152"/>
    <mergeCell ref="S114:U114"/>
    <mergeCell ref="S166:U166"/>
    <mergeCell ref="W166:Y166"/>
    <mergeCell ref="W153:Y153"/>
    <mergeCell ref="V182:X182"/>
    <mergeCell ref="M161:P161"/>
    <mergeCell ref="D141:L141"/>
    <mergeCell ref="D142:L142"/>
    <mergeCell ref="D129:L129"/>
    <mergeCell ref="D167:L167"/>
    <mergeCell ref="M167:P167"/>
    <mergeCell ref="D168:L168"/>
    <mergeCell ref="M168:P168"/>
    <mergeCell ref="M146:P146"/>
    <mergeCell ref="D160:L160"/>
    <mergeCell ref="D161:L161"/>
    <mergeCell ref="D155:L155"/>
    <mergeCell ref="D158:L158"/>
    <mergeCell ref="D159:L159"/>
    <mergeCell ref="D143:L143"/>
    <mergeCell ref="D144:L144"/>
    <mergeCell ref="D145:L145"/>
    <mergeCell ref="D154:L154"/>
    <mergeCell ref="D157:L157"/>
    <mergeCell ref="D140:L140"/>
    <mergeCell ref="D176:L179"/>
    <mergeCell ref="R165:U165"/>
    <mergeCell ref="V165:Y165"/>
    <mergeCell ref="AA93:AF93"/>
    <mergeCell ref="AA143:AF143"/>
    <mergeCell ref="AA148:AF148"/>
    <mergeCell ref="AA155:AF155"/>
    <mergeCell ref="S30:U30"/>
    <mergeCell ref="V30:X30"/>
    <mergeCell ref="D162:L162"/>
    <mergeCell ref="D136:L136"/>
    <mergeCell ref="D147:L147"/>
    <mergeCell ref="S37:U37"/>
    <mergeCell ref="S38:U38"/>
    <mergeCell ref="S39:U39"/>
    <mergeCell ref="S40:U40"/>
    <mergeCell ref="V39:X39"/>
    <mergeCell ref="V40:X40"/>
    <mergeCell ref="S41:U41"/>
    <mergeCell ref="S43:U43"/>
    <mergeCell ref="S44:U44"/>
    <mergeCell ref="V31:X31"/>
    <mergeCell ref="V32:X32"/>
    <mergeCell ref="V33:X33"/>
    <mergeCell ref="S42:U42"/>
    <mergeCell ref="V60:X60"/>
    <mergeCell ref="R81:U81"/>
    <mergeCell ref="U13:V13"/>
    <mergeCell ref="U197:V197"/>
    <mergeCell ref="U199:V199"/>
    <mergeCell ref="U201:V201"/>
    <mergeCell ref="U206:V206"/>
    <mergeCell ref="U14:V14"/>
    <mergeCell ref="U15:V15"/>
    <mergeCell ref="U17:V17"/>
    <mergeCell ref="U18:V18"/>
    <mergeCell ref="U19:V19"/>
    <mergeCell ref="S180:U180"/>
    <mergeCell ref="S179:U179"/>
    <mergeCell ref="S186:U186"/>
    <mergeCell ref="S187:U187"/>
    <mergeCell ref="S181:U181"/>
    <mergeCell ref="S182:U182"/>
    <mergeCell ref="S183:U183"/>
    <mergeCell ref="S184:U184"/>
    <mergeCell ref="S47:U47"/>
    <mergeCell ref="S48:U48"/>
    <mergeCell ref="S49:U49"/>
    <mergeCell ref="S50:U50"/>
    <mergeCell ref="S175:U175"/>
    <mergeCell ref="S192:U192"/>
    <mergeCell ref="V54:X54"/>
    <mergeCell ref="V105:X105"/>
    <mergeCell ref="V106:X106"/>
    <mergeCell ref="V71:Y71"/>
    <mergeCell ref="R80:U80"/>
    <mergeCell ref="V80:Y80"/>
    <mergeCell ref="V66:X66"/>
    <mergeCell ref="V67:X67"/>
    <mergeCell ref="V64:X64"/>
    <mergeCell ref="S100:X100"/>
    <mergeCell ref="S101:U101"/>
    <mergeCell ref="V101:X101"/>
    <mergeCell ref="S102:U102"/>
    <mergeCell ref="V102:X102"/>
    <mergeCell ref="S104:U104"/>
    <mergeCell ref="V104:X104"/>
    <mergeCell ref="V103:X103"/>
    <mergeCell ref="V49:X49"/>
    <mergeCell ref="V55:X55"/>
    <mergeCell ref="V50:X50"/>
    <mergeCell ref="V45:X45"/>
    <mergeCell ref="V46:X46"/>
    <mergeCell ref="V47:X47"/>
    <mergeCell ref="S139:U139"/>
    <mergeCell ref="S112:X112"/>
    <mergeCell ref="S113:U113"/>
    <mergeCell ref="V113:X113"/>
    <mergeCell ref="S108:U108"/>
    <mergeCell ref="S107:U107"/>
    <mergeCell ref="S106:U106"/>
    <mergeCell ref="V139:Y139"/>
    <mergeCell ref="V107:X107"/>
    <mergeCell ref="V108:X108"/>
    <mergeCell ref="V81:Y81"/>
    <mergeCell ref="V61:X61"/>
    <mergeCell ref="V62:X62"/>
    <mergeCell ref="V63:X63"/>
    <mergeCell ref="V65:X65"/>
    <mergeCell ref="S127:U127"/>
    <mergeCell ref="R72:U72"/>
    <mergeCell ref="V48:X48"/>
    <mergeCell ref="S46:U46"/>
    <mergeCell ref="S29:U29"/>
    <mergeCell ref="V44:X44"/>
    <mergeCell ref="S31:U31"/>
    <mergeCell ref="S32:U32"/>
    <mergeCell ref="S33:U33"/>
    <mergeCell ref="S34:U34"/>
    <mergeCell ref="S35:U35"/>
    <mergeCell ref="S36:U36"/>
    <mergeCell ref="V34:X34"/>
    <mergeCell ref="V35:X35"/>
    <mergeCell ref="V36:X36"/>
    <mergeCell ref="V37:X37"/>
    <mergeCell ref="V38:X38"/>
    <mergeCell ref="M101:Q101"/>
    <mergeCell ref="S26:U26"/>
    <mergeCell ref="V26:X26"/>
    <mergeCell ref="V27:X27"/>
    <mergeCell ref="V28:X28"/>
    <mergeCell ref="V29:X29"/>
    <mergeCell ref="S120:U120"/>
    <mergeCell ref="S119:U119"/>
    <mergeCell ref="S118:U118"/>
    <mergeCell ref="S117:U117"/>
    <mergeCell ref="S116:U116"/>
    <mergeCell ref="V116:X116"/>
    <mergeCell ref="V117:X117"/>
    <mergeCell ref="V118:X118"/>
    <mergeCell ref="V119:X119"/>
    <mergeCell ref="V120:X120"/>
    <mergeCell ref="S103:U103"/>
    <mergeCell ref="R71:U71"/>
    <mergeCell ref="V41:X41"/>
    <mergeCell ref="V42:X42"/>
    <mergeCell ref="V43:X43"/>
    <mergeCell ref="S105:U105"/>
    <mergeCell ref="S45:U45"/>
    <mergeCell ref="M102:Q102"/>
    <mergeCell ref="D101:L101"/>
    <mergeCell ref="D113:L113"/>
    <mergeCell ref="D128:L128"/>
    <mergeCell ref="D102:L102"/>
    <mergeCell ref="D103:L103"/>
    <mergeCell ref="D104:L104"/>
    <mergeCell ref="D105:L105"/>
    <mergeCell ref="D106:L106"/>
    <mergeCell ref="D107:L107"/>
    <mergeCell ref="D108:L108"/>
    <mergeCell ref="M158:P158"/>
    <mergeCell ref="M159:P159"/>
    <mergeCell ref="M160:P160"/>
    <mergeCell ref="M132:Q132"/>
    <mergeCell ref="M133:Q133"/>
    <mergeCell ref="M134:Q134"/>
    <mergeCell ref="M135:Q135"/>
    <mergeCell ref="D135:L135"/>
    <mergeCell ref="AA154:AF154"/>
    <mergeCell ref="AA156:AF156"/>
    <mergeCell ref="AA157:AF157"/>
    <mergeCell ref="M154:P154"/>
    <mergeCell ref="M155:P155"/>
    <mergeCell ref="M156:P156"/>
    <mergeCell ref="M157:P157"/>
    <mergeCell ref="M143:P143"/>
    <mergeCell ref="M144:P144"/>
    <mergeCell ref="M103:Q103"/>
    <mergeCell ref="M142:P142"/>
    <mergeCell ref="M141:P141"/>
    <mergeCell ref="M114:Q114"/>
    <mergeCell ref="M115:Q115"/>
    <mergeCell ref="D121:L121"/>
    <mergeCell ref="M121:Q121"/>
    <mergeCell ref="D116:L117"/>
    <mergeCell ref="D133:L133"/>
    <mergeCell ref="D132:L132"/>
    <mergeCell ref="D120:L120"/>
    <mergeCell ref="M104:Q104"/>
    <mergeCell ref="M131:Q131"/>
    <mergeCell ref="M105:Q105"/>
    <mergeCell ref="U245:V245"/>
    <mergeCell ref="U246:V246"/>
    <mergeCell ref="U247:V247"/>
    <mergeCell ref="U248:V248"/>
    <mergeCell ref="U20:V20"/>
    <mergeCell ref="M106:Q106"/>
    <mergeCell ref="M107:Q107"/>
    <mergeCell ref="M108:Q108"/>
    <mergeCell ref="M197:P197"/>
    <mergeCell ref="V56:X56"/>
    <mergeCell ref="V57:X57"/>
    <mergeCell ref="V58:X58"/>
    <mergeCell ref="V59:X59"/>
    <mergeCell ref="V72:Y72"/>
    <mergeCell ref="S27:U27"/>
    <mergeCell ref="S28:U28"/>
    <mergeCell ref="V187:X187"/>
    <mergeCell ref="V183:X183"/>
    <mergeCell ref="V184:X184"/>
    <mergeCell ref="V185:X185"/>
    <mergeCell ref="V186:X186"/>
    <mergeCell ref="V175:X175"/>
    <mergeCell ref="V177:X177"/>
    <mergeCell ref="V178:X178"/>
  </mergeCells>
  <conditionalFormatting sqref="V41:X41">
    <cfRule type="expression" dxfId="2" priority="3">
      <formula>$S$40&gt;0</formula>
    </cfRule>
  </conditionalFormatting>
  <conditionalFormatting sqref="S41:U41">
    <cfRule type="expression" dxfId="1" priority="1">
      <formula>AND($S$33&gt;0,$S$40&gt;0)</formula>
    </cfRule>
    <cfRule type="duplicateValues" dxfId="0" priority="2"/>
  </conditionalFormatting>
  <dataValidations count="6">
    <dataValidation type="list" allowBlank="1" showInputMessage="1" showErrorMessage="1" sqref="S224 V224">
      <formula1>OperationsandMaint</formula1>
    </dataValidation>
    <dataValidation type="list" allowBlank="1" showInputMessage="1" showErrorMessage="1" sqref="Q155:Q161 Q168:Q170">
      <formula1>POLICYCOSTING</formula1>
    </dataValidation>
    <dataValidation type="list" allowBlank="1" showInputMessage="1" showErrorMessage="1" sqref="U206">
      <formula1>Multiplier</formula1>
    </dataValidation>
    <dataValidation type="list" allowBlank="1" showInputMessage="1" showErrorMessage="1" sqref="S114:S116 S102:S104 S106:S108 S118 S120:S121">
      <formula1>BAUselection</formula1>
    </dataValidation>
    <dataValidation type="list" allowBlank="1" showInputMessage="1" showErrorMessage="1" sqref="V114:V115 V118:X118 V116:X116 V102:V108 S105 V120:V121">
      <formula1>SELECTION</formula1>
    </dataValidation>
    <dataValidation type="list" allowBlank="1" showInputMessage="1" showErrorMessage="1" sqref="V56:X59">
      <formula1>InputMethod</formula1>
    </dataValidation>
  </dataValidations>
  <pageMargins left="0.7" right="0.7" top="0.75" bottom="0.75" header="0.3" footer="0.3"/>
  <pageSetup scale="42" fitToHeight="0" orientation="landscape" horizontalDpi="4294967293" verticalDpi="4294967293"/>
  <headerFooter>
    <oddFooter>&amp;L&amp;A&amp;R&amp;P of &amp;N</oddFooter>
  </headerFooter>
  <rowBreaks count="2" manualBreakCount="2">
    <brk id="93" max="16383" man="1"/>
    <brk id="148" max="16383" man="1"/>
  </rowBreaks>
  <ignoredErrors>
    <ignoredError sqref="U248"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7.6640625" style="12" bestFit="1" customWidth="1"/>
    <col min="6" max="6" width="13.109375" style="12" bestFit="1" customWidth="1"/>
    <col min="7" max="7" width="23" style="12" bestFit="1" customWidth="1"/>
    <col min="8" max="8" width="15" style="12" bestFit="1" customWidth="1"/>
    <col min="9" max="9" width="15.109375" style="12" bestFit="1" customWidth="1"/>
    <col min="10" max="10" width="17" style="12" bestFit="1" customWidth="1"/>
    <col min="11" max="11" width="18.33203125" style="12" bestFit="1" customWidth="1"/>
    <col min="12" max="12" width="15" style="12" bestFit="1" customWidth="1"/>
    <col min="13" max="13" width="15.44140625" style="12" bestFit="1" customWidth="1"/>
    <col min="14" max="14" width="15.109375" style="12" bestFit="1" customWidth="1"/>
    <col min="15" max="17" width="15.44140625" style="12" bestFit="1" customWidth="1"/>
    <col min="18" max="18" width="15" style="12" bestFit="1" customWidth="1"/>
    <col min="19" max="19" width="15.109375" style="12" bestFit="1" customWidth="1"/>
    <col min="20" max="20" width="15.44140625" style="12" bestFit="1" customWidth="1"/>
    <col min="21" max="21" width="16" style="12" bestFit="1" customWidth="1"/>
    <col min="22" max="23" width="15.6640625" style="12" bestFit="1" customWidth="1"/>
    <col min="24" max="24" width="16" style="12" bestFit="1" customWidth="1"/>
    <col min="25" max="26" width="15.44140625" style="12" bestFit="1" customWidth="1"/>
    <col min="27" max="27" width="15.6640625" style="12" bestFit="1" customWidth="1"/>
    <col min="28" max="28" width="15" style="12" bestFit="1" customWidth="1"/>
    <col min="29" max="29" width="15.109375" style="12" bestFit="1" customWidth="1"/>
    <col min="30" max="30" width="15" style="12" bestFit="1" customWidth="1"/>
    <col min="31" max="31" width="15.44140625" style="12" bestFit="1" customWidth="1"/>
    <col min="32" max="33" width="15.109375" style="12" bestFit="1" customWidth="1"/>
    <col min="34" max="34" width="14.109375" style="12" bestFit="1" customWidth="1"/>
    <col min="35" max="35" width="15" style="12" bestFit="1" customWidth="1"/>
    <col min="36" max="36" width="14.6640625" style="12" bestFit="1" customWidth="1"/>
    <col min="37" max="37" width="15.109375" style="12" bestFit="1" customWidth="1"/>
    <col min="38" max="38" width="14.109375" style="12" bestFit="1" customWidth="1"/>
    <col min="39" max="40" width="14.44140625" style="12" bestFit="1" customWidth="1"/>
    <col min="41" max="41" width="15" style="12" bestFit="1" customWidth="1"/>
    <col min="42" max="42" width="14.6640625" style="12" bestFit="1" customWidth="1"/>
    <col min="43" max="43" width="14.109375" style="12" bestFit="1" customWidth="1"/>
    <col min="44" max="44" width="14.44140625" style="12" bestFit="1" customWidth="1"/>
    <col min="45" max="45" width="14.109375" style="12" bestFit="1" customWidth="1"/>
    <col min="46" max="46" width="13.6640625" style="12" bestFit="1" customWidth="1"/>
    <col min="47" max="47" width="14.44140625" style="12" bestFit="1" customWidth="1"/>
    <col min="48" max="48" width="14.6640625" style="12" bestFit="1" customWidth="1"/>
    <col min="49" max="49" width="15" style="12" bestFit="1" customWidth="1"/>
    <col min="50" max="50" width="14.44140625" style="12" bestFit="1" customWidth="1"/>
    <col min="51" max="51" width="14.109375" style="12" bestFit="1" customWidth="1"/>
    <col min="52" max="52" width="14.6640625" style="12" bestFit="1" customWidth="1"/>
    <col min="53" max="54" width="13.6640625" style="12" bestFit="1" customWidth="1"/>
    <col min="55" max="56" width="14.44140625" style="12" bestFit="1" customWidth="1"/>
    <col min="57" max="57" width="14.109375" style="12" bestFit="1" customWidth="1"/>
    <col min="58" max="58" width="2.33203125" style="12" customWidth="1"/>
    <col min="59" max="16384" width="0" style="12" hidden="1"/>
  </cols>
  <sheetData>
    <row r="1" spans="1:57" x14ac:dyDescent="0.25">
      <c r="A1" s="1465" t="s">
        <v>639</v>
      </c>
    </row>
    <row r="2" spans="1:57" x14ac:dyDescent="0.25"/>
    <row r="3" spans="1:57" s="58" customFormat="1" x14ac:dyDescent="0.25">
      <c r="A3" s="5" t="s">
        <v>329</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25">
      <c r="Q4" s="185"/>
      <c r="R4" s="185"/>
      <c r="S4" s="185"/>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row>
    <row r="5" spans="1:57" s="8" customFormat="1" ht="12.75" customHeight="1" x14ac:dyDescent="0.25">
      <c r="B5" s="8" t="s">
        <v>259</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25">
      <c r="C6" s="8" t="s">
        <v>327</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25">
      <c r="C7" s="8" t="s">
        <v>328</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25">
      <c r="C8" s="8" t="s">
        <v>258</v>
      </c>
      <c r="Q8" s="185"/>
      <c r="R8" s="185"/>
      <c r="S8" s="185"/>
    </row>
    <row r="9" spans="1:57" s="8" customFormat="1" ht="12.75" customHeight="1" x14ac:dyDescent="0.25">
      <c r="Q9" s="185"/>
      <c r="R9" s="185"/>
      <c r="S9" s="185"/>
    </row>
    <row r="10" spans="1:57" s="8" customFormat="1" ht="12.75" customHeight="1" x14ac:dyDescent="0.25">
      <c r="A10" s="44" t="s">
        <v>330</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25">
      <c r="A11" s="19"/>
      <c r="B11" s="19"/>
      <c r="C11" s="19"/>
      <c r="D11" s="19"/>
      <c r="E11" s="19"/>
      <c r="F11" s="19"/>
    </row>
    <row r="12" spans="1:57" x14ac:dyDescent="0.25"/>
    <row r="13" spans="1:57" x14ac:dyDescent="0.25">
      <c r="B13" s="213" t="s">
        <v>58</v>
      </c>
      <c r="C13" s="214"/>
      <c r="D13" s="214"/>
      <c r="E13" s="215"/>
      <c r="F13" s="214"/>
      <c r="G13" s="215">
        <v>0</v>
      </c>
      <c r="H13" s="215">
        <v>1</v>
      </c>
      <c r="I13" s="215">
        <v>2</v>
      </c>
      <c r="J13" s="215">
        <v>3</v>
      </c>
      <c r="K13" s="215">
        <v>4</v>
      </c>
      <c r="L13" s="215">
        <v>5</v>
      </c>
      <c r="M13" s="215">
        <v>6</v>
      </c>
      <c r="N13" s="215">
        <v>7</v>
      </c>
      <c r="O13" s="215">
        <v>8</v>
      </c>
      <c r="P13" s="215">
        <v>9</v>
      </c>
      <c r="Q13" s="215">
        <v>10</v>
      </c>
      <c r="R13" s="215">
        <v>11</v>
      </c>
      <c r="S13" s="215">
        <v>12</v>
      </c>
      <c r="T13" s="215">
        <v>13</v>
      </c>
      <c r="U13" s="215">
        <v>14</v>
      </c>
      <c r="V13" s="215">
        <v>15</v>
      </c>
      <c r="W13" s="215">
        <v>16</v>
      </c>
      <c r="X13" s="215">
        <v>17</v>
      </c>
      <c r="Y13" s="215">
        <v>18</v>
      </c>
      <c r="Z13" s="215">
        <v>19</v>
      </c>
      <c r="AA13" s="215">
        <v>20</v>
      </c>
      <c r="AB13" s="215">
        <v>21</v>
      </c>
      <c r="AC13" s="215">
        <v>22</v>
      </c>
      <c r="AD13" s="215">
        <v>23</v>
      </c>
      <c r="AE13" s="215">
        <v>24</v>
      </c>
      <c r="AF13" s="215">
        <v>25</v>
      </c>
      <c r="AG13" s="215">
        <v>26</v>
      </c>
      <c r="AH13" s="215">
        <v>27</v>
      </c>
      <c r="AI13" s="215">
        <v>28</v>
      </c>
      <c r="AJ13" s="215">
        <v>29</v>
      </c>
      <c r="AK13" s="215">
        <v>30</v>
      </c>
      <c r="AL13" s="215">
        <v>31</v>
      </c>
      <c r="AM13" s="215">
        <v>32</v>
      </c>
      <c r="AN13" s="215">
        <v>33</v>
      </c>
      <c r="AO13" s="215">
        <v>34</v>
      </c>
      <c r="AP13" s="215">
        <v>35</v>
      </c>
      <c r="AQ13" s="215">
        <v>36</v>
      </c>
      <c r="AR13" s="215">
        <v>37</v>
      </c>
      <c r="AS13" s="215">
        <v>38</v>
      </c>
      <c r="AT13" s="215">
        <v>39</v>
      </c>
      <c r="AU13" s="215">
        <v>40</v>
      </c>
      <c r="AV13" s="215">
        <v>41</v>
      </c>
      <c r="AW13" s="215">
        <v>42</v>
      </c>
      <c r="AX13" s="215">
        <v>43</v>
      </c>
      <c r="AY13" s="215">
        <v>44</v>
      </c>
      <c r="AZ13" s="215">
        <v>45</v>
      </c>
      <c r="BA13" s="215">
        <v>46</v>
      </c>
      <c r="BB13" s="215">
        <v>47</v>
      </c>
      <c r="BC13" s="215">
        <v>48</v>
      </c>
      <c r="BD13" s="215">
        <v>49</v>
      </c>
      <c r="BE13" s="215">
        <v>50</v>
      </c>
    </row>
    <row r="14" spans="1:57" ht="13.8" thickBot="1" x14ac:dyDescent="0.3">
      <c r="B14" s="33"/>
      <c r="C14" s="34"/>
      <c r="D14" s="34"/>
      <c r="E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row>
    <row r="15" spans="1:57" x14ac:dyDescent="0.25">
      <c r="B15" s="216" t="s">
        <v>164</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8"/>
    </row>
    <row r="16" spans="1:57" x14ac:dyDescent="0.25">
      <c r="B16" s="219"/>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1"/>
    </row>
    <row r="17" spans="2:57" x14ac:dyDescent="0.25">
      <c r="B17" s="222"/>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1"/>
    </row>
    <row r="18" spans="2:57" x14ac:dyDescent="0.25">
      <c r="B18" s="222" t="s">
        <v>136</v>
      </c>
      <c r="C18" s="220"/>
      <c r="D18" s="220"/>
      <c r="E18" s="220"/>
      <c r="F18" s="220"/>
      <c r="G18" s="220"/>
      <c r="H18" s="223">
        <f>IF(H$13&gt;'II. Inputs, Baseline Energy Mix'!$N$18,0,1)</f>
        <v>1</v>
      </c>
      <c r="I18" s="220">
        <f>IF(I$13&gt;'II. Inputs, Baseline Energy Mix'!$N$18,0,1)</f>
        <v>1</v>
      </c>
      <c r="J18" s="220">
        <f>IF(J$13&gt;'II. Inputs, Baseline Energy Mix'!$N$18,0,1)</f>
        <v>1</v>
      </c>
      <c r="K18" s="220">
        <f>IF(K$13&gt;'II. Inputs, Baseline Energy Mix'!$N$18,0,1)</f>
        <v>1</v>
      </c>
      <c r="L18" s="220">
        <f>IF(L$13&gt;'II. Inputs, Baseline Energy Mix'!$N$18,0,1)</f>
        <v>1</v>
      </c>
      <c r="M18" s="220">
        <f>IF(M$13&gt;'II. Inputs, Baseline Energy Mix'!$N$18,0,1)</f>
        <v>1</v>
      </c>
      <c r="N18" s="220">
        <f>IF(N$13&gt;'II. Inputs, Baseline Energy Mix'!$N$18,0,1)</f>
        <v>1</v>
      </c>
      <c r="O18" s="220">
        <f>IF(O$13&gt;'II. Inputs, Baseline Energy Mix'!$N$18,0,1)</f>
        <v>1</v>
      </c>
      <c r="P18" s="220">
        <f>IF(P$13&gt;'II. Inputs, Baseline Energy Mix'!$N$18,0,1)</f>
        <v>1</v>
      </c>
      <c r="Q18" s="220">
        <f>IF(Q$13&gt;'II. Inputs, Baseline Energy Mix'!$N$18,0,1)</f>
        <v>1</v>
      </c>
      <c r="R18" s="220">
        <f>IF(R$13&gt;'II. Inputs, Baseline Energy Mix'!$N$18,0,1)</f>
        <v>1</v>
      </c>
      <c r="S18" s="220">
        <f>IF(S$13&gt;'II. Inputs, Baseline Energy Mix'!$N$18,0,1)</f>
        <v>1</v>
      </c>
      <c r="T18" s="220">
        <f>IF(T$13&gt;'II. Inputs, Baseline Energy Mix'!$N$18,0,1)</f>
        <v>1</v>
      </c>
      <c r="U18" s="220">
        <f>IF(U$13&gt;'II. Inputs, Baseline Energy Mix'!$N$18,0,1)</f>
        <v>1</v>
      </c>
      <c r="V18" s="220">
        <f>IF(V$13&gt;'II. Inputs, Baseline Energy Mix'!$N$18,0,1)</f>
        <v>1</v>
      </c>
      <c r="W18" s="220">
        <f>IF(W$13&gt;'II. Inputs, Baseline Energy Mix'!$N$18,0,1)</f>
        <v>1</v>
      </c>
      <c r="X18" s="220">
        <f>IF(X$13&gt;'II. Inputs, Baseline Energy Mix'!$N$18,0,1)</f>
        <v>1</v>
      </c>
      <c r="Y18" s="220">
        <f>IF(Y$13&gt;'II. Inputs, Baseline Energy Mix'!$N$18,0,1)</f>
        <v>1</v>
      </c>
      <c r="Z18" s="220">
        <f>IF(Z$13&gt;'II. Inputs, Baseline Energy Mix'!$N$18,0,1)</f>
        <v>1</v>
      </c>
      <c r="AA18" s="220">
        <f>IF(AA$13&gt;'II. Inputs, Baseline Energy Mix'!$N$18,0,1)</f>
        <v>1</v>
      </c>
      <c r="AB18" s="220">
        <f>IF(AB$13&gt;'II. Inputs, Baseline Energy Mix'!$N$18,0,1)</f>
        <v>1</v>
      </c>
      <c r="AC18" s="220">
        <f>IF(AC$13&gt;'II. Inputs, Baseline Energy Mix'!$N$18,0,1)</f>
        <v>1</v>
      </c>
      <c r="AD18" s="220">
        <f>IF(AD$13&gt;'II. Inputs, Baseline Energy Mix'!$N$18,0,1)</f>
        <v>1</v>
      </c>
      <c r="AE18" s="220">
        <f>IF(AE$13&gt;'II. Inputs, Baseline Energy Mix'!$N$18,0,1)</f>
        <v>1</v>
      </c>
      <c r="AF18" s="220">
        <f>IF(AF$13&gt;'II. Inputs, Baseline Energy Mix'!$N$18,0,1)</f>
        <v>1</v>
      </c>
      <c r="AG18" s="220">
        <f>IF(AG$13&gt;'II. Inputs, Baseline Energy Mix'!$N$18,0,1)</f>
        <v>0</v>
      </c>
      <c r="AH18" s="220">
        <f>IF(AH$13&gt;'II. Inputs, Baseline Energy Mix'!$N$18,0,1)</f>
        <v>0</v>
      </c>
      <c r="AI18" s="220">
        <f>IF(AI$13&gt;'II. Inputs, Baseline Energy Mix'!$N$18,0,1)</f>
        <v>0</v>
      </c>
      <c r="AJ18" s="220">
        <f>IF(AJ$13&gt;'II. Inputs, Baseline Energy Mix'!$N$18,0,1)</f>
        <v>0</v>
      </c>
      <c r="AK18" s="220">
        <f>IF(AK$13&gt;'II. Inputs, Baseline Energy Mix'!$N$18,0,1)</f>
        <v>0</v>
      </c>
      <c r="AL18" s="220">
        <f>IF(AL$13&gt;'II. Inputs, Baseline Energy Mix'!$N$18,0,1)</f>
        <v>0</v>
      </c>
      <c r="AM18" s="220">
        <f>IF(AM$13&gt;'II. Inputs, Baseline Energy Mix'!$N$18,0,1)</f>
        <v>0</v>
      </c>
      <c r="AN18" s="220">
        <f>IF(AN$13&gt;'II. Inputs, Baseline Energy Mix'!$N$18,0,1)</f>
        <v>0</v>
      </c>
      <c r="AO18" s="220">
        <f>IF(AO$13&gt;'II. Inputs, Baseline Energy Mix'!$N$18,0,1)</f>
        <v>0</v>
      </c>
      <c r="AP18" s="220">
        <f>IF(AP$13&gt;'II. Inputs, Baseline Energy Mix'!$N$18,0,1)</f>
        <v>0</v>
      </c>
      <c r="AQ18" s="220">
        <f>IF(AQ$13&gt;'II. Inputs, Baseline Energy Mix'!$N$18,0,1)</f>
        <v>0</v>
      </c>
      <c r="AR18" s="220">
        <f>IF(AR$13&gt;'II. Inputs, Baseline Energy Mix'!$N$18,0,1)</f>
        <v>0</v>
      </c>
      <c r="AS18" s="220">
        <f>IF(AS$13&gt;'II. Inputs, Baseline Energy Mix'!$N$18,0,1)</f>
        <v>0</v>
      </c>
      <c r="AT18" s="220">
        <f>IF(AT$13&gt;'II. Inputs, Baseline Energy Mix'!$N$18,0,1)</f>
        <v>0</v>
      </c>
      <c r="AU18" s="220">
        <f>IF(AU$13&gt;'II. Inputs, Baseline Energy Mix'!$N$18,0,1)</f>
        <v>0</v>
      </c>
      <c r="AV18" s="220">
        <f>IF(AV$13&gt;'II. Inputs, Baseline Energy Mix'!$N$18,0,1)</f>
        <v>0</v>
      </c>
      <c r="AW18" s="220">
        <f>IF(AW$13&gt;'II. Inputs, Baseline Energy Mix'!$N$18,0,1)</f>
        <v>0</v>
      </c>
      <c r="AX18" s="220">
        <f>IF(AX$13&gt;'II. Inputs, Baseline Energy Mix'!$N$18,0,1)</f>
        <v>0</v>
      </c>
      <c r="AY18" s="220">
        <f>IF(AY$13&gt;'II. Inputs, Baseline Energy Mix'!$N$18,0,1)</f>
        <v>0</v>
      </c>
      <c r="AZ18" s="220">
        <f>IF(AZ$13&gt;'II. Inputs, Baseline Energy Mix'!$N$18,0,1)</f>
        <v>0</v>
      </c>
      <c r="BA18" s="220">
        <f>IF(BA$13&gt;'II. Inputs, Baseline Energy Mix'!$N$18,0,1)</f>
        <v>0</v>
      </c>
      <c r="BB18" s="220">
        <f>IF(BB$13&gt;'II. Inputs, Baseline Energy Mix'!$N$18,0,1)</f>
        <v>0</v>
      </c>
      <c r="BC18" s="220">
        <f>IF(BC$13&gt;'II. Inputs, Baseline Energy Mix'!$N$18,0,1)</f>
        <v>0</v>
      </c>
      <c r="BD18" s="220">
        <f>IF(BD$13&gt;'II. Inputs, Baseline Energy Mix'!$N$18,0,1)</f>
        <v>0</v>
      </c>
      <c r="BE18" s="221">
        <f>IF(BE$13&gt;'II. Inputs, Baseline Energy Mix'!$N$18,0,1)</f>
        <v>0</v>
      </c>
    </row>
    <row r="19" spans="2:57" x14ac:dyDescent="0.25">
      <c r="B19" s="222"/>
      <c r="C19" s="220"/>
      <c r="D19" s="220"/>
      <c r="E19" s="220"/>
      <c r="F19" s="220"/>
      <c r="G19" s="220"/>
      <c r="H19" s="223"/>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1"/>
    </row>
    <row r="20" spans="2:57" x14ac:dyDescent="0.25">
      <c r="B20" s="222" t="s">
        <v>97</v>
      </c>
      <c r="C20" s="220"/>
      <c r="D20" s="220"/>
      <c r="E20" s="220"/>
      <c r="F20" s="224" t="s">
        <v>98</v>
      </c>
      <c r="G20" s="220"/>
      <c r="H20" s="225">
        <f>IF('II. Inputs, Baseline Energy Mix'!$N$15=0,0,'II. Inputs, Baseline Energy Mix'!$N$92*'II. Inputs, Baseline Energy Mix'!$N$16*H18)</f>
        <v>0</v>
      </c>
      <c r="I20" s="225">
        <f>IF('II. Inputs, Baseline Energy Mix'!$N$15=0,0,'II. Inputs, Baseline Energy Mix'!$N$92*'II. Inputs, Baseline Energy Mix'!$N$16*I18)</f>
        <v>0</v>
      </c>
      <c r="J20" s="225">
        <f>IF('II. Inputs, Baseline Energy Mix'!$N$15=0,0,'II. Inputs, Baseline Energy Mix'!$N$92*'II. Inputs, Baseline Energy Mix'!$N$16*J18)</f>
        <v>0</v>
      </c>
      <c r="K20" s="225">
        <f>IF('II. Inputs, Baseline Energy Mix'!$N$15=0,0,'II. Inputs, Baseline Energy Mix'!$N$92*'II. Inputs, Baseline Energy Mix'!$N$16*K18)</f>
        <v>0</v>
      </c>
      <c r="L20" s="225">
        <f>IF('II. Inputs, Baseline Energy Mix'!$N$15=0,0,'II. Inputs, Baseline Energy Mix'!$N$92*'II. Inputs, Baseline Energy Mix'!$N$16*L18)</f>
        <v>0</v>
      </c>
      <c r="M20" s="225">
        <f>IF('II. Inputs, Baseline Energy Mix'!$N$15=0,0,'II. Inputs, Baseline Energy Mix'!$N$92*'II. Inputs, Baseline Energy Mix'!$N$16*M18)</f>
        <v>0</v>
      </c>
      <c r="N20" s="225">
        <f>IF('II. Inputs, Baseline Energy Mix'!$N$15=0,0,'II. Inputs, Baseline Energy Mix'!$N$92*'II. Inputs, Baseline Energy Mix'!$N$16*N18)</f>
        <v>0</v>
      </c>
      <c r="O20" s="225">
        <f>IF('II. Inputs, Baseline Energy Mix'!$N$15=0,0,'II. Inputs, Baseline Energy Mix'!$N$92*'II. Inputs, Baseline Energy Mix'!$N$16*O18)</f>
        <v>0</v>
      </c>
      <c r="P20" s="225">
        <f>IF('II. Inputs, Baseline Energy Mix'!$N$15=0,0,'II. Inputs, Baseline Energy Mix'!$N$92*'II. Inputs, Baseline Energy Mix'!$N$16*P18)</f>
        <v>0</v>
      </c>
      <c r="Q20" s="225">
        <f>IF('II. Inputs, Baseline Energy Mix'!$N$15=0,0,'II. Inputs, Baseline Energy Mix'!$N$92*'II. Inputs, Baseline Energy Mix'!$N$16*Q18)</f>
        <v>0</v>
      </c>
      <c r="R20" s="225">
        <f>IF('II. Inputs, Baseline Energy Mix'!$N$15=0,0,'II. Inputs, Baseline Energy Mix'!$N$92*'II. Inputs, Baseline Energy Mix'!$N$16*R18)</f>
        <v>0</v>
      </c>
      <c r="S20" s="225">
        <f>IF('II. Inputs, Baseline Energy Mix'!$N$15=0,0,'II. Inputs, Baseline Energy Mix'!$N$92*'II. Inputs, Baseline Energy Mix'!$N$16*S18)</f>
        <v>0</v>
      </c>
      <c r="T20" s="225">
        <f>IF('II. Inputs, Baseline Energy Mix'!$N$15=0,0,'II. Inputs, Baseline Energy Mix'!$N$92*'II. Inputs, Baseline Energy Mix'!$N$16*T18)</f>
        <v>0</v>
      </c>
      <c r="U20" s="225">
        <f>IF('II. Inputs, Baseline Energy Mix'!$N$15=0,0,'II. Inputs, Baseline Energy Mix'!$N$92*'II. Inputs, Baseline Energy Mix'!$N$16*U18)</f>
        <v>0</v>
      </c>
      <c r="V20" s="225">
        <f>IF('II. Inputs, Baseline Energy Mix'!$N$15=0,0,'II. Inputs, Baseline Energy Mix'!$N$92*'II. Inputs, Baseline Energy Mix'!$N$16*V18)</f>
        <v>0</v>
      </c>
      <c r="W20" s="225">
        <f>IF('II. Inputs, Baseline Energy Mix'!$N$15=0,0,'II. Inputs, Baseline Energy Mix'!$N$92*'II. Inputs, Baseline Energy Mix'!$N$16*W18)</f>
        <v>0</v>
      </c>
      <c r="X20" s="225">
        <f>IF('II. Inputs, Baseline Energy Mix'!$N$15=0,0,'II. Inputs, Baseline Energy Mix'!$N$92*'II. Inputs, Baseline Energy Mix'!$N$16*X18)</f>
        <v>0</v>
      </c>
      <c r="Y20" s="225">
        <f>IF('II. Inputs, Baseline Energy Mix'!$N$15=0,0,'II. Inputs, Baseline Energy Mix'!$N$92*'II. Inputs, Baseline Energy Mix'!$N$16*Y18)</f>
        <v>0</v>
      </c>
      <c r="Z20" s="225">
        <f>IF('II. Inputs, Baseline Energy Mix'!$N$15=0,0,'II. Inputs, Baseline Energy Mix'!$N$92*'II. Inputs, Baseline Energy Mix'!$N$16*Z18)</f>
        <v>0</v>
      </c>
      <c r="AA20" s="225">
        <f>IF('II. Inputs, Baseline Energy Mix'!$N$15=0,0,'II. Inputs, Baseline Energy Mix'!$N$92*'II. Inputs, Baseline Energy Mix'!$N$16*AA18)</f>
        <v>0</v>
      </c>
      <c r="AB20" s="225">
        <f>IF('II. Inputs, Baseline Energy Mix'!$N$15=0,0,'II. Inputs, Baseline Energy Mix'!$N$92*'II. Inputs, Baseline Energy Mix'!$N$16*AB18)</f>
        <v>0</v>
      </c>
      <c r="AC20" s="225">
        <f>IF('II. Inputs, Baseline Energy Mix'!$N$15=0,0,'II. Inputs, Baseline Energy Mix'!$N$92*'II. Inputs, Baseline Energy Mix'!$N$16*AC18)</f>
        <v>0</v>
      </c>
      <c r="AD20" s="225">
        <f>IF('II. Inputs, Baseline Energy Mix'!$N$15=0,0,'II. Inputs, Baseline Energy Mix'!$N$92*'II. Inputs, Baseline Energy Mix'!$N$16*AD18)</f>
        <v>0</v>
      </c>
      <c r="AE20" s="225">
        <f>IF('II. Inputs, Baseline Energy Mix'!$N$15=0,0,'II. Inputs, Baseline Energy Mix'!$N$92*'II. Inputs, Baseline Energy Mix'!$N$16*AE18)</f>
        <v>0</v>
      </c>
      <c r="AF20" s="225">
        <f>IF('II. Inputs, Baseline Energy Mix'!$N$15=0,0,'II. Inputs, Baseline Energy Mix'!$N$92*'II. Inputs, Baseline Energy Mix'!$N$16*AF18)</f>
        <v>0</v>
      </c>
      <c r="AG20" s="225">
        <f>IF('II. Inputs, Baseline Energy Mix'!$N$15=0,0,'II. Inputs, Baseline Energy Mix'!$N$92*'II. Inputs, Baseline Energy Mix'!$N$16*AG18)</f>
        <v>0</v>
      </c>
      <c r="AH20" s="225">
        <f>IF('II. Inputs, Baseline Energy Mix'!$N$15=0,0,'II. Inputs, Baseline Energy Mix'!$N$92*'II. Inputs, Baseline Energy Mix'!$N$16*AH18)</f>
        <v>0</v>
      </c>
      <c r="AI20" s="225">
        <f>IF('II. Inputs, Baseline Energy Mix'!$N$15=0,0,'II. Inputs, Baseline Energy Mix'!$N$92*'II. Inputs, Baseline Energy Mix'!$N$16*AI18)</f>
        <v>0</v>
      </c>
      <c r="AJ20" s="225">
        <f>IF('II. Inputs, Baseline Energy Mix'!$N$15=0,0,'II. Inputs, Baseline Energy Mix'!$N$92*'II. Inputs, Baseline Energy Mix'!$N$16*AJ18)</f>
        <v>0</v>
      </c>
      <c r="AK20" s="225">
        <f>IF('II. Inputs, Baseline Energy Mix'!$N$15=0,0,'II. Inputs, Baseline Energy Mix'!$N$92*'II. Inputs, Baseline Energy Mix'!$N$16*AK18)</f>
        <v>0</v>
      </c>
      <c r="AL20" s="225">
        <f>IF('II. Inputs, Baseline Energy Mix'!$N$15=0,0,'II. Inputs, Baseline Energy Mix'!$N$92*'II. Inputs, Baseline Energy Mix'!$N$16*AL18)</f>
        <v>0</v>
      </c>
      <c r="AM20" s="225">
        <f>IF('II. Inputs, Baseline Energy Mix'!$N$15=0,0,'II. Inputs, Baseline Energy Mix'!$N$92*'II. Inputs, Baseline Energy Mix'!$N$16*AM18)</f>
        <v>0</v>
      </c>
      <c r="AN20" s="225">
        <f>IF('II. Inputs, Baseline Energy Mix'!$N$15=0,0,'II. Inputs, Baseline Energy Mix'!$N$92*'II. Inputs, Baseline Energy Mix'!$N$16*AN18)</f>
        <v>0</v>
      </c>
      <c r="AO20" s="225">
        <f>IF('II. Inputs, Baseline Energy Mix'!$N$15=0,0,'II. Inputs, Baseline Energy Mix'!$N$92*'II. Inputs, Baseline Energy Mix'!$N$16*AO18)</f>
        <v>0</v>
      </c>
      <c r="AP20" s="225">
        <f>IF('II. Inputs, Baseline Energy Mix'!$N$15=0,0,'II. Inputs, Baseline Energy Mix'!$N$92*'II. Inputs, Baseline Energy Mix'!$N$16*AP18)</f>
        <v>0</v>
      </c>
      <c r="AQ20" s="225">
        <f>IF('II. Inputs, Baseline Energy Mix'!$N$15=0,0,'II. Inputs, Baseline Energy Mix'!$N$92*'II. Inputs, Baseline Energy Mix'!$N$16*AQ18)</f>
        <v>0</v>
      </c>
      <c r="AR20" s="225">
        <f>IF('II. Inputs, Baseline Energy Mix'!$N$15=0,0,'II. Inputs, Baseline Energy Mix'!$N$92*'II. Inputs, Baseline Energy Mix'!$N$16*AR18)</f>
        <v>0</v>
      </c>
      <c r="AS20" s="225">
        <f>IF('II. Inputs, Baseline Energy Mix'!$N$15=0,0,'II. Inputs, Baseline Energy Mix'!$N$92*'II. Inputs, Baseline Energy Mix'!$N$16*AS18)</f>
        <v>0</v>
      </c>
      <c r="AT20" s="225">
        <f>IF('II. Inputs, Baseline Energy Mix'!$N$15=0,0,'II. Inputs, Baseline Energy Mix'!$N$92*'II. Inputs, Baseline Energy Mix'!$N$16*AT18)</f>
        <v>0</v>
      </c>
      <c r="AU20" s="225">
        <f>IF('II. Inputs, Baseline Energy Mix'!$N$15=0,0,'II. Inputs, Baseline Energy Mix'!$N$92*'II. Inputs, Baseline Energy Mix'!$N$16*AU18)</f>
        <v>0</v>
      </c>
      <c r="AV20" s="225">
        <f>IF('II. Inputs, Baseline Energy Mix'!$N$15=0,0,'II. Inputs, Baseline Energy Mix'!$N$92*'II. Inputs, Baseline Energy Mix'!$N$16*AV18)</f>
        <v>0</v>
      </c>
      <c r="AW20" s="225">
        <f>IF('II. Inputs, Baseline Energy Mix'!$N$15=0,0,'II. Inputs, Baseline Energy Mix'!$N$92*'II. Inputs, Baseline Energy Mix'!$N$16*AW18)</f>
        <v>0</v>
      </c>
      <c r="AX20" s="225">
        <f>IF('II. Inputs, Baseline Energy Mix'!$N$15=0,0,'II. Inputs, Baseline Energy Mix'!$N$92*'II. Inputs, Baseline Energy Mix'!$N$16*AX18)</f>
        <v>0</v>
      </c>
      <c r="AY20" s="225">
        <f>IF('II. Inputs, Baseline Energy Mix'!$N$15=0,0,'II. Inputs, Baseline Energy Mix'!$N$92*'II. Inputs, Baseline Energy Mix'!$N$16*AY18)</f>
        <v>0</v>
      </c>
      <c r="AZ20" s="225">
        <f>IF('II. Inputs, Baseline Energy Mix'!$N$15=0,0,'II. Inputs, Baseline Energy Mix'!$N$92*'II. Inputs, Baseline Energy Mix'!$N$16*AZ18)</f>
        <v>0</v>
      </c>
      <c r="BA20" s="225">
        <f>IF('II. Inputs, Baseline Energy Mix'!$N$15=0,0,'II. Inputs, Baseline Energy Mix'!$N$92*'II. Inputs, Baseline Energy Mix'!$N$16*BA18)</f>
        <v>0</v>
      </c>
      <c r="BB20" s="225">
        <f>IF('II. Inputs, Baseline Energy Mix'!$N$15=0,0,'II. Inputs, Baseline Energy Mix'!$N$92*'II. Inputs, Baseline Energy Mix'!$N$16*BB18)</f>
        <v>0</v>
      </c>
      <c r="BC20" s="225">
        <f>IF('II. Inputs, Baseline Energy Mix'!$N$15=0,0,'II. Inputs, Baseline Energy Mix'!$N$92*'II. Inputs, Baseline Energy Mix'!$N$16*BC18)</f>
        <v>0</v>
      </c>
      <c r="BD20" s="225">
        <f>IF('II. Inputs, Baseline Energy Mix'!$N$15=0,0,'II. Inputs, Baseline Energy Mix'!$N$92*'II. Inputs, Baseline Energy Mix'!$N$16*BD18)</f>
        <v>0</v>
      </c>
      <c r="BE20" s="226">
        <f>IF('II. Inputs, Baseline Energy Mix'!$N$15=0,0,'II. Inputs, Baseline Energy Mix'!$N$92*'II. Inputs, Baseline Energy Mix'!$N$16*BE18)</f>
        <v>0</v>
      </c>
    </row>
    <row r="21" spans="2:57" x14ac:dyDescent="0.25">
      <c r="B21" s="222"/>
      <c r="C21" s="220"/>
      <c r="D21" s="220"/>
      <c r="E21" s="224"/>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1"/>
    </row>
    <row r="22" spans="2:57" x14ac:dyDescent="0.25">
      <c r="B22" s="227" t="s">
        <v>99</v>
      </c>
      <c r="C22" s="228"/>
      <c r="D22" s="228"/>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30"/>
    </row>
    <row r="23" spans="2:57" x14ac:dyDescent="0.25">
      <c r="B23" s="222"/>
      <c r="C23" s="220"/>
      <c r="D23" s="220"/>
      <c r="E23" s="224"/>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1"/>
    </row>
    <row r="24" spans="2:57" x14ac:dyDescent="0.25">
      <c r="B24" s="222" t="s">
        <v>137</v>
      </c>
      <c r="C24" s="220"/>
      <c r="D24" s="220"/>
      <c r="E24" s="224"/>
      <c r="F24" s="224" t="s">
        <v>22</v>
      </c>
      <c r="G24" s="220"/>
      <c r="H24" s="231">
        <f>IF('II. Inputs, Baseline Energy Mix'!$N$15=0,0,H18*'II. Inputs, Baseline Energy Mix'!$N$105*(1+'II. Inputs, Baseline Energy Mix'!$N$106)^('IV. LCOE, Baseline Energy Mix'!H$13-1))</f>
        <v>0</v>
      </c>
      <c r="I24" s="231">
        <f>IF('II. Inputs, Baseline Energy Mix'!$N$15=0,0,I18*'II. Inputs, Baseline Energy Mix'!$N$105*(1+'II. Inputs, Baseline Energy Mix'!$N$106)^('IV. LCOE, Baseline Energy Mix'!I$13-1))</f>
        <v>0</v>
      </c>
      <c r="J24" s="231">
        <f>IF('II. Inputs, Baseline Energy Mix'!$N$15=0,0,J18*'II. Inputs, Baseline Energy Mix'!$N$105*(1+'II. Inputs, Baseline Energy Mix'!$N$106)^('IV. LCOE, Baseline Energy Mix'!J$13-1))</f>
        <v>0</v>
      </c>
      <c r="K24" s="231">
        <f>IF('II. Inputs, Baseline Energy Mix'!$N$15=0,0,K18*'II. Inputs, Baseline Energy Mix'!$N$105*(1+'II. Inputs, Baseline Energy Mix'!$N$106)^('IV. LCOE, Baseline Energy Mix'!K$13-1))</f>
        <v>0</v>
      </c>
      <c r="L24" s="231">
        <f>IF('II. Inputs, Baseline Energy Mix'!$N$15=0,0,L18*'II. Inputs, Baseline Energy Mix'!$N$105*(1+'II. Inputs, Baseline Energy Mix'!$N$106)^('IV. LCOE, Baseline Energy Mix'!L$13-1))</f>
        <v>0</v>
      </c>
      <c r="M24" s="231">
        <f>IF('II. Inputs, Baseline Energy Mix'!$N$15=0,0,M18*'II. Inputs, Baseline Energy Mix'!$N$105*(1+'II. Inputs, Baseline Energy Mix'!$N$106)^('IV. LCOE, Baseline Energy Mix'!M$13-1))</f>
        <v>0</v>
      </c>
      <c r="N24" s="231">
        <f>IF('II. Inputs, Baseline Energy Mix'!$N$15=0,0,N18*'II. Inputs, Baseline Energy Mix'!$N$105*(1+'II. Inputs, Baseline Energy Mix'!$N$106)^('IV. LCOE, Baseline Energy Mix'!N$13-1))</f>
        <v>0</v>
      </c>
      <c r="O24" s="231">
        <f>IF('II. Inputs, Baseline Energy Mix'!$N$15=0,0,O18*'II. Inputs, Baseline Energy Mix'!$N$105*(1+'II. Inputs, Baseline Energy Mix'!$N$106)^('IV. LCOE, Baseline Energy Mix'!O$13-1))</f>
        <v>0</v>
      </c>
      <c r="P24" s="231">
        <f>IF('II. Inputs, Baseline Energy Mix'!$N$15=0,0,P18*'II. Inputs, Baseline Energy Mix'!$N$105*(1+'II. Inputs, Baseline Energy Mix'!$N$106)^('IV. LCOE, Baseline Energy Mix'!P$13-1))</f>
        <v>0</v>
      </c>
      <c r="Q24" s="231">
        <f>IF('II. Inputs, Baseline Energy Mix'!$N$15=0,0,Q18*'II. Inputs, Baseline Energy Mix'!$N$105*(1+'II. Inputs, Baseline Energy Mix'!$N$106)^('IV. LCOE, Baseline Energy Mix'!Q$13-1))</f>
        <v>0</v>
      </c>
      <c r="R24" s="231">
        <f>IF('II. Inputs, Baseline Energy Mix'!$N$15=0,0,R18*'II. Inputs, Baseline Energy Mix'!$N$105*(1+'II. Inputs, Baseline Energy Mix'!$N$106)^('IV. LCOE, Baseline Energy Mix'!R$13-1))</f>
        <v>0</v>
      </c>
      <c r="S24" s="231">
        <f>IF('II. Inputs, Baseline Energy Mix'!$N$15=0,0,S18*'II. Inputs, Baseline Energy Mix'!$N$105*(1+'II. Inputs, Baseline Energy Mix'!$N$106)^('IV. LCOE, Baseline Energy Mix'!S$13-1))</f>
        <v>0</v>
      </c>
      <c r="T24" s="231">
        <f>IF('II. Inputs, Baseline Energy Mix'!$N$15=0,0,T18*'II. Inputs, Baseline Energy Mix'!$N$105*(1+'II. Inputs, Baseline Energy Mix'!$N$106)^('IV. LCOE, Baseline Energy Mix'!T$13-1))</f>
        <v>0</v>
      </c>
      <c r="U24" s="231">
        <f>IF('II. Inputs, Baseline Energy Mix'!$N$15=0,0,U18*'II. Inputs, Baseline Energy Mix'!$N$105*(1+'II. Inputs, Baseline Energy Mix'!$N$106)^('IV. LCOE, Baseline Energy Mix'!U$13-1))</f>
        <v>0</v>
      </c>
      <c r="V24" s="231">
        <f>IF('II. Inputs, Baseline Energy Mix'!$N$15=0,0,V18*'II. Inputs, Baseline Energy Mix'!$N$105*(1+'II. Inputs, Baseline Energy Mix'!$N$106)^('IV. LCOE, Baseline Energy Mix'!V$13-1))</f>
        <v>0</v>
      </c>
      <c r="W24" s="231">
        <f>IF('II. Inputs, Baseline Energy Mix'!$N$15=0,0,W18*'II. Inputs, Baseline Energy Mix'!$N$105*(1+'II. Inputs, Baseline Energy Mix'!$N$106)^('IV. LCOE, Baseline Energy Mix'!W$13-1))</f>
        <v>0</v>
      </c>
      <c r="X24" s="231">
        <f>IF('II. Inputs, Baseline Energy Mix'!$N$15=0,0,X18*'II. Inputs, Baseline Energy Mix'!$N$105*(1+'II. Inputs, Baseline Energy Mix'!$N$106)^('IV. LCOE, Baseline Energy Mix'!X$13-1))</f>
        <v>0</v>
      </c>
      <c r="Y24" s="231">
        <f>IF('II. Inputs, Baseline Energy Mix'!$N$15=0,0,Y18*'II. Inputs, Baseline Energy Mix'!$N$105*(1+'II. Inputs, Baseline Energy Mix'!$N$106)^('IV. LCOE, Baseline Energy Mix'!Y$13-1))</f>
        <v>0</v>
      </c>
      <c r="Z24" s="231">
        <f>IF('II. Inputs, Baseline Energy Mix'!$N$15=0,0,Z18*'II. Inputs, Baseline Energy Mix'!$N$105*(1+'II. Inputs, Baseline Energy Mix'!$N$106)^('IV. LCOE, Baseline Energy Mix'!Z$13-1))</f>
        <v>0</v>
      </c>
      <c r="AA24" s="231">
        <f>IF('II. Inputs, Baseline Energy Mix'!$N$15=0,0,AA18*'II. Inputs, Baseline Energy Mix'!$N$105*(1+'II. Inputs, Baseline Energy Mix'!$N$106)^('IV. LCOE, Baseline Energy Mix'!AA$13-1))</f>
        <v>0</v>
      </c>
      <c r="AB24" s="231">
        <f>IF('II. Inputs, Baseline Energy Mix'!$N$15=0,0,AB18*'II. Inputs, Baseline Energy Mix'!$N$105*(1+'II. Inputs, Baseline Energy Mix'!$N$106)^('IV. LCOE, Baseline Energy Mix'!AB$13-1))</f>
        <v>0</v>
      </c>
      <c r="AC24" s="231">
        <f>IF('II. Inputs, Baseline Energy Mix'!$N$15=0,0,AC18*'II. Inputs, Baseline Energy Mix'!$N$105*(1+'II. Inputs, Baseline Energy Mix'!$N$106)^('IV. LCOE, Baseline Energy Mix'!AC$13-1))</f>
        <v>0</v>
      </c>
      <c r="AD24" s="231">
        <f>IF('II. Inputs, Baseline Energy Mix'!$N$15=0,0,AD18*'II. Inputs, Baseline Energy Mix'!$N$105*(1+'II. Inputs, Baseline Energy Mix'!$N$106)^('IV. LCOE, Baseline Energy Mix'!AD$13-1))</f>
        <v>0</v>
      </c>
      <c r="AE24" s="231">
        <f>IF('II. Inputs, Baseline Energy Mix'!$N$15=0,0,AE18*'II. Inputs, Baseline Energy Mix'!$N$105*(1+'II. Inputs, Baseline Energy Mix'!$N$106)^('IV. LCOE, Baseline Energy Mix'!AE$13-1))</f>
        <v>0</v>
      </c>
      <c r="AF24" s="231">
        <f>IF('II. Inputs, Baseline Energy Mix'!$N$15=0,0,AF18*'II. Inputs, Baseline Energy Mix'!$N$105*(1+'II. Inputs, Baseline Energy Mix'!$N$106)^('IV. LCOE, Baseline Energy Mix'!AF$13-1))</f>
        <v>0</v>
      </c>
      <c r="AG24" s="231">
        <f>IF('II. Inputs, Baseline Energy Mix'!$N$15=0,0,AG18*'II. Inputs, Baseline Energy Mix'!$N$105*(1+'II. Inputs, Baseline Energy Mix'!$N$106)^('IV. LCOE, Baseline Energy Mix'!AG$13-1))</f>
        <v>0</v>
      </c>
      <c r="AH24" s="231">
        <f>IF('II. Inputs, Baseline Energy Mix'!$N$15=0,0,AH18*'II. Inputs, Baseline Energy Mix'!$N$105*(1+'II. Inputs, Baseline Energy Mix'!$N$106)^('IV. LCOE, Baseline Energy Mix'!AH$13-1))</f>
        <v>0</v>
      </c>
      <c r="AI24" s="231">
        <f>IF('II. Inputs, Baseline Energy Mix'!$N$15=0,0,AI18*'II. Inputs, Baseline Energy Mix'!$N$105*(1+'II. Inputs, Baseline Energy Mix'!$N$106)^('IV. LCOE, Baseline Energy Mix'!AI$13-1))</f>
        <v>0</v>
      </c>
      <c r="AJ24" s="231">
        <f>IF('II. Inputs, Baseline Energy Mix'!$N$15=0,0,AJ18*'II. Inputs, Baseline Energy Mix'!$N$105*(1+'II. Inputs, Baseline Energy Mix'!$N$106)^('IV. LCOE, Baseline Energy Mix'!AJ$13-1))</f>
        <v>0</v>
      </c>
      <c r="AK24" s="231">
        <f>IF('II. Inputs, Baseline Energy Mix'!$N$15=0,0,AK18*'II. Inputs, Baseline Energy Mix'!$N$105*(1+'II. Inputs, Baseline Energy Mix'!$N$106)^('IV. LCOE, Baseline Energy Mix'!AK$13-1))</f>
        <v>0</v>
      </c>
      <c r="AL24" s="231">
        <f>IF('II. Inputs, Baseline Energy Mix'!$N$15=0,0,AL18*'II. Inputs, Baseline Energy Mix'!$N$105*(1+'II. Inputs, Baseline Energy Mix'!$N$106)^('IV. LCOE, Baseline Energy Mix'!AL$13-1))</f>
        <v>0</v>
      </c>
      <c r="AM24" s="231">
        <f>IF('II. Inputs, Baseline Energy Mix'!$N$15=0,0,AM18*'II. Inputs, Baseline Energy Mix'!$N$105*(1+'II. Inputs, Baseline Energy Mix'!$N$106)^('IV. LCOE, Baseline Energy Mix'!AM$13-1))</f>
        <v>0</v>
      </c>
      <c r="AN24" s="231">
        <f>IF('II. Inputs, Baseline Energy Mix'!$N$15=0,0,AN18*'II. Inputs, Baseline Energy Mix'!$N$105*(1+'II. Inputs, Baseline Energy Mix'!$N$106)^('IV. LCOE, Baseline Energy Mix'!AN$13-1))</f>
        <v>0</v>
      </c>
      <c r="AO24" s="231">
        <f>IF('II. Inputs, Baseline Energy Mix'!$N$15=0,0,AO18*'II. Inputs, Baseline Energy Mix'!$N$105*(1+'II. Inputs, Baseline Energy Mix'!$N$106)^('IV. LCOE, Baseline Energy Mix'!AO$13-1))</f>
        <v>0</v>
      </c>
      <c r="AP24" s="231">
        <f>IF('II. Inputs, Baseline Energy Mix'!$N$15=0,0,AP18*'II. Inputs, Baseline Energy Mix'!$N$105*(1+'II. Inputs, Baseline Energy Mix'!$N$106)^('IV. LCOE, Baseline Energy Mix'!AP$13-1))</f>
        <v>0</v>
      </c>
      <c r="AQ24" s="231">
        <f>IF('II. Inputs, Baseline Energy Mix'!$N$15=0,0,AQ18*'II. Inputs, Baseline Energy Mix'!$N$105*(1+'II. Inputs, Baseline Energy Mix'!$N$106)^('IV. LCOE, Baseline Energy Mix'!AQ$13-1))</f>
        <v>0</v>
      </c>
      <c r="AR24" s="231">
        <f>IF('II. Inputs, Baseline Energy Mix'!$N$15=0,0,AR18*'II. Inputs, Baseline Energy Mix'!$N$105*(1+'II. Inputs, Baseline Energy Mix'!$N$106)^('IV. LCOE, Baseline Energy Mix'!AR$13-1))</f>
        <v>0</v>
      </c>
      <c r="AS24" s="231">
        <f>IF('II. Inputs, Baseline Energy Mix'!$N$15=0,0,AS18*'II. Inputs, Baseline Energy Mix'!$N$105*(1+'II. Inputs, Baseline Energy Mix'!$N$106)^('IV. LCOE, Baseline Energy Mix'!AS$13-1))</f>
        <v>0</v>
      </c>
      <c r="AT24" s="231">
        <f>IF('II. Inputs, Baseline Energy Mix'!$N$15=0,0,AT18*'II. Inputs, Baseline Energy Mix'!$N$105*(1+'II. Inputs, Baseline Energy Mix'!$N$106)^('IV. LCOE, Baseline Energy Mix'!AT$13-1))</f>
        <v>0</v>
      </c>
      <c r="AU24" s="231">
        <f>IF('II. Inputs, Baseline Energy Mix'!$N$15=0,0,AU18*'II. Inputs, Baseline Energy Mix'!$N$105*(1+'II. Inputs, Baseline Energy Mix'!$N$106)^('IV. LCOE, Baseline Energy Mix'!AU$13-1))</f>
        <v>0</v>
      </c>
      <c r="AV24" s="231">
        <f>IF('II. Inputs, Baseline Energy Mix'!$N$15=0,0,AV18*'II. Inputs, Baseline Energy Mix'!$N$105*(1+'II. Inputs, Baseline Energy Mix'!$N$106)^('IV. LCOE, Baseline Energy Mix'!AV$13-1))</f>
        <v>0</v>
      </c>
      <c r="AW24" s="231">
        <f>IF('II. Inputs, Baseline Energy Mix'!$N$15=0,0,AW18*'II. Inputs, Baseline Energy Mix'!$N$105*(1+'II. Inputs, Baseline Energy Mix'!$N$106)^('IV. LCOE, Baseline Energy Mix'!AW$13-1))</f>
        <v>0</v>
      </c>
      <c r="AX24" s="231">
        <f>IF('II. Inputs, Baseline Energy Mix'!$N$15=0,0,AX18*'II. Inputs, Baseline Energy Mix'!$N$105*(1+'II. Inputs, Baseline Energy Mix'!$N$106)^('IV. LCOE, Baseline Energy Mix'!AX$13-1))</f>
        <v>0</v>
      </c>
      <c r="AY24" s="231">
        <f>IF('II. Inputs, Baseline Energy Mix'!$N$15=0,0,AY18*'II. Inputs, Baseline Energy Mix'!$N$105*(1+'II. Inputs, Baseline Energy Mix'!$N$106)^('IV. LCOE, Baseline Energy Mix'!AY$13-1))</f>
        <v>0</v>
      </c>
      <c r="AZ24" s="231">
        <f>IF('II. Inputs, Baseline Energy Mix'!$N$15=0,0,AZ18*'II. Inputs, Baseline Energy Mix'!$N$105*(1+'II. Inputs, Baseline Energy Mix'!$N$106)^('IV. LCOE, Baseline Energy Mix'!AZ$13-1))</f>
        <v>0</v>
      </c>
      <c r="BA24" s="231">
        <f>IF('II. Inputs, Baseline Energy Mix'!$N$15=0,0,BA18*'II. Inputs, Baseline Energy Mix'!$N$105*(1+'II. Inputs, Baseline Energy Mix'!$N$106)^('IV. LCOE, Baseline Energy Mix'!BA$13-1))</f>
        <v>0</v>
      </c>
      <c r="BB24" s="231">
        <f>IF('II. Inputs, Baseline Energy Mix'!$N$15=0,0,BB18*'II. Inputs, Baseline Energy Mix'!$N$105*(1+'II. Inputs, Baseline Energy Mix'!$N$106)^('IV. LCOE, Baseline Energy Mix'!BB$13-1))</f>
        <v>0</v>
      </c>
      <c r="BC24" s="231">
        <f>IF('II. Inputs, Baseline Energy Mix'!$N$15=0,0,BC18*'II. Inputs, Baseline Energy Mix'!$N$105*(1+'II. Inputs, Baseline Energy Mix'!$N$106)^('IV. LCOE, Baseline Energy Mix'!BC$13-1))</f>
        <v>0</v>
      </c>
      <c r="BD24" s="231">
        <f>IF('II. Inputs, Baseline Energy Mix'!$N$15=0,0,BD18*'II. Inputs, Baseline Energy Mix'!$N$105*(1+'II. Inputs, Baseline Energy Mix'!$N$106)^('IV. LCOE, Baseline Energy Mix'!BD$13-1))</f>
        <v>0</v>
      </c>
      <c r="BE24" s="232">
        <f>IF('II. Inputs, Baseline Energy Mix'!$N$15=0,0,BE18*'II. Inputs, Baseline Energy Mix'!$N$105*(1+'II. Inputs, Baseline Energy Mix'!$N$106)^('IV. LCOE, Baseline Energy Mix'!BE$13-1))</f>
        <v>0</v>
      </c>
    </row>
    <row r="25" spans="2:57" x14ac:dyDescent="0.25">
      <c r="B25" s="222"/>
      <c r="C25" s="220"/>
      <c r="D25" s="220"/>
      <c r="E25" s="224"/>
      <c r="F25" s="224"/>
      <c r="G25" s="220"/>
      <c r="H25" s="233"/>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2"/>
    </row>
    <row r="26" spans="2:57" x14ac:dyDescent="0.25">
      <c r="B26" s="222" t="s">
        <v>38</v>
      </c>
      <c r="C26" s="220"/>
      <c r="D26" s="220"/>
      <c r="E26" s="224"/>
      <c r="F26" s="224" t="s">
        <v>626</v>
      </c>
      <c r="G26" s="220"/>
      <c r="H26" s="233">
        <f>IF('II. Inputs, Baseline Energy Mix'!$N$96="Model Default",'IV. LCOE, Baseline Energy Mix'!H27,IF('II. Inputs, Baseline Energy Mix'!$N$96="User-defined, annually adjusted",'IV. LCOE, Baseline Energy Mix'!H28,IF('II. Inputs, Baseline Energy Mix'!$N$96="Manual Entry",'IV. LCOE, Baseline Energy Mix'!H30,H29)))</f>
        <v>12.84051251593011</v>
      </c>
      <c r="I26" s="233">
        <f>IF('II. Inputs, Baseline Energy Mix'!$N$96="Model Default",'IV. LCOE, Baseline Energy Mix'!I27,IF('II. Inputs, Baseline Energy Mix'!$N$96="User-defined, annually adjusted",'IV. LCOE, Baseline Energy Mix'!I28,IF('II. Inputs, Baseline Energy Mix'!$N$96="Manual Entry",'IV. LCOE, Baseline Energy Mix'!I30,I29)))</f>
        <v>14.145768773895165</v>
      </c>
      <c r="J26" s="233">
        <f>IF('II. Inputs, Baseline Energy Mix'!$N$96="Model Default",'IV. LCOE, Baseline Energy Mix'!J27,IF('II. Inputs, Baseline Energy Mix'!$N$96="User-defined, annually adjusted",'IV. LCOE, Baseline Energy Mix'!J28,IF('II. Inputs, Baseline Energy Mix'!$N$96="Manual Entry",'IV. LCOE, Baseline Energy Mix'!J30,J29)))</f>
        <v>15.451025031860219</v>
      </c>
      <c r="K26" s="233">
        <f>IF('II. Inputs, Baseline Energy Mix'!$N$96="Model Default",'IV. LCOE, Baseline Energy Mix'!K27,IF('II. Inputs, Baseline Energy Mix'!$N$96="User-defined, annually adjusted",'IV. LCOE, Baseline Energy Mix'!K28,IF('II. Inputs, Baseline Energy Mix'!$N$96="Manual Entry",'IV. LCOE, Baseline Energy Mix'!K30,K29)))</f>
        <v>16.756281289825274</v>
      </c>
      <c r="L26" s="233">
        <f>IF('II. Inputs, Baseline Energy Mix'!$N$96="Model Default",'IV. LCOE, Baseline Energy Mix'!L27,IF('II. Inputs, Baseline Energy Mix'!$N$96="User-defined, annually adjusted",'IV. LCOE, Baseline Energy Mix'!L28,IF('II. Inputs, Baseline Energy Mix'!$N$96="Manual Entry",'IV. LCOE, Baseline Energy Mix'!L30,L29)))</f>
        <v>18.06153754779033</v>
      </c>
      <c r="M26" s="233">
        <f>IF('II. Inputs, Baseline Energy Mix'!$N$96="Model Default",'IV. LCOE, Baseline Energy Mix'!M27,IF('II. Inputs, Baseline Energy Mix'!$N$96="User-defined, annually adjusted",'IV. LCOE, Baseline Energy Mix'!M28,IF('II. Inputs, Baseline Energy Mix'!$N$96="Manual Entry",'IV. LCOE, Baseline Energy Mix'!M30,M29)))</f>
        <v>19.366793805755385</v>
      </c>
      <c r="N26" s="233">
        <f>IF('II. Inputs, Baseline Energy Mix'!$N$96="Model Default",'IV. LCOE, Baseline Energy Mix'!N27,IF('II. Inputs, Baseline Energy Mix'!$N$96="User-defined, annually adjusted",'IV. LCOE, Baseline Energy Mix'!N28,IF('II. Inputs, Baseline Energy Mix'!$N$96="Manual Entry",'IV. LCOE, Baseline Energy Mix'!N30,N29)))</f>
        <v>20.672050063720441</v>
      </c>
      <c r="O26" s="233">
        <f>IF('II. Inputs, Baseline Energy Mix'!$N$96="Model Default",'IV. LCOE, Baseline Energy Mix'!O27,IF('II. Inputs, Baseline Energy Mix'!$N$96="User-defined, annually adjusted",'IV. LCOE, Baseline Energy Mix'!O28,IF('II. Inputs, Baseline Energy Mix'!$N$96="Manual Entry",'IV. LCOE, Baseline Energy Mix'!O30,O29)))</f>
        <v>21.977306321685496</v>
      </c>
      <c r="P26" s="233">
        <f>IF('II. Inputs, Baseline Energy Mix'!$N$96="Model Default",'IV. LCOE, Baseline Energy Mix'!P27,IF('II. Inputs, Baseline Energy Mix'!$N$96="User-defined, annually adjusted",'IV. LCOE, Baseline Energy Mix'!P28,IF('II. Inputs, Baseline Energy Mix'!$N$96="Manual Entry",'IV. LCOE, Baseline Energy Mix'!P30,P29)))</f>
        <v>23.282562579650548</v>
      </c>
      <c r="Q26" s="233">
        <f>IF('II. Inputs, Baseline Energy Mix'!$N$96="Model Default",'IV. LCOE, Baseline Energy Mix'!Q27,IF('II. Inputs, Baseline Energy Mix'!$N$96="User-defined, annually adjusted",'IV. LCOE, Baseline Energy Mix'!Q28,IF('II. Inputs, Baseline Energy Mix'!$N$96="Manual Entry",'IV. LCOE, Baseline Energy Mix'!Q30,Q29)))</f>
        <v>24.587818837615604</v>
      </c>
      <c r="R26" s="233">
        <f>IF('II. Inputs, Baseline Energy Mix'!$N$96="Model Default",'IV. LCOE, Baseline Energy Mix'!R27,IF('II. Inputs, Baseline Energy Mix'!$N$96="User-defined, annually adjusted",'IV. LCOE, Baseline Energy Mix'!R28,IF('II. Inputs, Baseline Energy Mix'!$N$96="Manual Entry",'IV. LCOE, Baseline Energy Mix'!R30,R29)))</f>
        <v>25.893075095580659</v>
      </c>
      <c r="S26" s="233">
        <f>IF('II. Inputs, Baseline Energy Mix'!$N$96="Model Default",'IV. LCOE, Baseline Energy Mix'!S27,IF('II. Inputs, Baseline Energy Mix'!$N$96="User-defined, annually adjusted",'IV. LCOE, Baseline Energy Mix'!S28,IF('II. Inputs, Baseline Energy Mix'!$N$96="Manual Entry",'IV. LCOE, Baseline Energy Mix'!S30,S29)))</f>
        <v>27.198331353545715</v>
      </c>
      <c r="T26" s="233">
        <f>IF('II. Inputs, Baseline Energy Mix'!$N$96="Model Default",'IV. LCOE, Baseline Energy Mix'!T27,IF('II. Inputs, Baseline Energy Mix'!$N$96="User-defined, annually adjusted",'IV. LCOE, Baseline Energy Mix'!T28,IF('II. Inputs, Baseline Energy Mix'!$N$96="Manual Entry",'IV. LCOE, Baseline Energy Mix'!T30,T29)))</f>
        <v>28.503587611510767</v>
      </c>
      <c r="U26" s="233">
        <f>IF('II. Inputs, Baseline Energy Mix'!$N$96="Model Default",'IV. LCOE, Baseline Energy Mix'!U27,IF('II. Inputs, Baseline Energy Mix'!$N$96="User-defined, annually adjusted",'IV. LCOE, Baseline Energy Mix'!U28,IF('II. Inputs, Baseline Energy Mix'!$N$96="Manual Entry",'IV. LCOE, Baseline Energy Mix'!U30,U29)))</f>
        <v>29.808843869475822</v>
      </c>
      <c r="V26" s="233">
        <f>IF('II. Inputs, Baseline Energy Mix'!$N$96="Model Default",'IV. LCOE, Baseline Energy Mix'!V27,IF('II. Inputs, Baseline Energy Mix'!$N$96="User-defined, annually adjusted",'IV. LCOE, Baseline Energy Mix'!V28,IF('II. Inputs, Baseline Energy Mix'!$N$96="Manual Entry",'IV. LCOE, Baseline Energy Mix'!V30,V29)))</f>
        <v>31.114100127440878</v>
      </c>
      <c r="W26" s="233">
        <f>IF('II. Inputs, Baseline Energy Mix'!$N$96="Model Default",'IV. LCOE, Baseline Energy Mix'!W27,IF('II. Inputs, Baseline Energy Mix'!$N$96="User-defined, annually adjusted",'IV. LCOE, Baseline Energy Mix'!W28,IF('II. Inputs, Baseline Energy Mix'!$N$96="Manual Entry",'IV. LCOE, Baseline Energy Mix'!W30,W29)))</f>
        <v>32.419356385405933</v>
      </c>
      <c r="X26" s="233">
        <f>IF('II. Inputs, Baseline Energy Mix'!$N$96="Model Default",'IV. LCOE, Baseline Energy Mix'!X27,IF('II. Inputs, Baseline Energy Mix'!$N$96="User-defined, annually adjusted",'IV. LCOE, Baseline Energy Mix'!X28,IF('II. Inputs, Baseline Energy Mix'!$N$96="Manual Entry",'IV. LCOE, Baseline Energy Mix'!X30,X29)))</f>
        <v>33.724612643370989</v>
      </c>
      <c r="Y26" s="233">
        <f>IF('II. Inputs, Baseline Energy Mix'!$N$96="Model Default",'IV. LCOE, Baseline Energy Mix'!Y27,IF('II. Inputs, Baseline Energy Mix'!$N$96="User-defined, annually adjusted",'IV. LCOE, Baseline Energy Mix'!Y28,IF('II. Inputs, Baseline Energy Mix'!$N$96="Manual Entry",'IV. LCOE, Baseline Energy Mix'!Y30,Y29)))</f>
        <v>35.029868901336044</v>
      </c>
      <c r="Z26" s="233">
        <f>IF('II. Inputs, Baseline Energy Mix'!$N$96="Model Default",'IV. LCOE, Baseline Energy Mix'!Z27,IF('II. Inputs, Baseline Energy Mix'!$N$96="User-defined, annually adjusted",'IV. LCOE, Baseline Energy Mix'!Z28,IF('II. Inputs, Baseline Energy Mix'!$N$96="Manual Entry",'IV. LCOE, Baseline Energy Mix'!Z30,Z29)))</f>
        <v>36.3351251593011</v>
      </c>
      <c r="AA26" s="233">
        <f>IF('II. Inputs, Baseline Energy Mix'!$N$96="Model Default",'IV. LCOE, Baseline Energy Mix'!AA27,IF('II. Inputs, Baseline Energy Mix'!$N$96="User-defined, annually adjusted",'IV. LCOE, Baseline Energy Mix'!AA28,IF('II. Inputs, Baseline Energy Mix'!$N$96="Manual Entry",'IV. LCOE, Baseline Energy Mix'!AA30,AA29)))</f>
        <v>37.577556476360257</v>
      </c>
      <c r="AB26" s="233">
        <f>IF('II. Inputs, Baseline Energy Mix'!$N$96="Model Default",'IV. LCOE, Baseline Energy Mix'!AB27,IF('II. Inputs, Baseline Energy Mix'!$N$96="User-defined, annually adjusted",'IV. LCOE, Baseline Energy Mix'!AB28,IF('II. Inputs, Baseline Energy Mix'!$N$96="Manual Entry",'IV. LCOE, Baseline Energy Mix'!AB30,AB29)))</f>
        <v>38.819987793419422</v>
      </c>
      <c r="AC26" s="233">
        <f>IF('II. Inputs, Baseline Energy Mix'!$N$96="Model Default",'IV. LCOE, Baseline Energy Mix'!AC27,IF('II. Inputs, Baseline Energy Mix'!$N$96="User-defined, annually adjusted",'IV. LCOE, Baseline Energy Mix'!AC28,IF('II. Inputs, Baseline Energy Mix'!$N$96="Manual Entry",'IV. LCOE, Baseline Energy Mix'!AC30,AC29)))</f>
        <v>40.062419110478587</v>
      </c>
      <c r="AD26" s="233">
        <f>IF('II. Inputs, Baseline Energy Mix'!$N$96="Model Default",'IV. LCOE, Baseline Energy Mix'!AD27,IF('II. Inputs, Baseline Energy Mix'!$N$96="User-defined, annually adjusted",'IV. LCOE, Baseline Energy Mix'!AD28,IF('II. Inputs, Baseline Energy Mix'!$N$96="Manual Entry",'IV. LCOE, Baseline Energy Mix'!AD30,AD29)))</f>
        <v>41.304850427537744</v>
      </c>
      <c r="AE26" s="233">
        <f>IF('II. Inputs, Baseline Energy Mix'!$N$96="Model Default",'IV. LCOE, Baseline Energy Mix'!AE27,IF('II. Inputs, Baseline Energy Mix'!$N$96="User-defined, annually adjusted",'IV. LCOE, Baseline Energy Mix'!AE28,IF('II. Inputs, Baseline Energy Mix'!$N$96="Manual Entry",'IV. LCOE, Baseline Energy Mix'!AE30,AE29)))</f>
        <v>42.547281744596908</v>
      </c>
      <c r="AF26" s="233">
        <f>IF('II. Inputs, Baseline Energy Mix'!$N$96="Model Default",'IV. LCOE, Baseline Energy Mix'!AF27,IF('II. Inputs, Baseline Energy Mix'!$N$96="User-defined, annually adjusted",'IV. LCOE, Baseline Energy Mix'!AF28,IF('II. Inputs, Baseline Energy Mix'!$N$96="Manual Entry",'IV. LCOE, Baseline Energy Mix'!AF30,AF29)))</f>
        <v>43.789713061656073</v>
      </c>
      <c r="AG26" s="233">
        <f>IF('II. Inputs, Baseline Energy Mix'!$N$96="Model Default",'IV. LCOE, Baseline Energy Mix'!AG27,IF('II. Inputs, Baseline Energy Mix'!$N$96="User-defined, annually adjusted",'IV. LCOE, Baseline Energy Mix'!AG28,IF('II. Inputs, Baseline Energy Mix'!$N$96="Manual Entry",'IV. LCOE, Baseline Energy Mix'!AG30,AG29)))</f>
        <v>0</v>
      </c>
      <c r="AH26" s="233">
        <f>IF('II. Inputs, Baseline Energy Mix'!$N$96="Model Default",'IV. LCOE, Baseline Energy Mix'!AH27,IF('II. Inputs, Baseline Energy Mix'!$N$96="User-defined, annually adjusted",'IV. LCOE, Baseline Energy Mix'!AH28,IF('II. Inputs, Baseline Energy Mix'!$N$96="Manual Entry",'IV. LCOE, Baseline Energy Mix'!AH30,AH29)))</f>
        <v>0</v>
      </c>
      <c r="AI26" s="233">
        <f>IF('II. Inputs, Baseline Energy Mix'!$N$96="Model Default",'IV. LCOE, Baseline Energy Mix'!AI27,IF('II. Inputs, Baseline Energy Mix'!$N$96="User-defined, annually adjusted",'IV. LCOE, Baseline Energy Mix'!AI28,IF('II. Inputs, Baseline Energy Mix'!$N$96="Manual Entry",'IV. LCOE, Baseline Energy Mix'!AI30,AI29)))</f>
        <v>0</v>
      </c>
      <c r="AJ26" s="233">
        <f>IF('II. Inputs, Baseline Energy Mix'!$N$96="Model Default",'IV. LCOE, Baseline Energy Mix'!AJ27,IF('II. Inputs, Baseline Energy Mix'!$N$96="User-defined, annually adjusted",'IV. LCOE, Baseline Energy Mix'!AJ28,IF('II. Inputs, Baseline Energy Mix'!$N$96="Manual Entry",'IV. LCOE, Baseline Energy Mix'!AJ30,AJ29)))</f>
        <v>0</v>
      </c>
      <c r="AK26" s="233">
        <f>IF('II. Inputs, Baseline Energy Mix'!$N$96="Model Default",'IV. LCOE, Baseline Energy Mix'!AK27,IF('II. Inputs, Baseline Energy Mix'!$N$96="User-defined, annually adjusted",'IV. LCOE, Baseline Energy Mix'!AK28,IF('II. Inputs, Baseline Energy Mix'!$N$96="Manual Entry",'IV. LCOE, Baseline Energy Mix'!AK30,AK29)))</f>
        <v>0</v>
      </c>
      <c r="AL26" s="233">
        <f>IF('II. Inputs, Baseline Energy Mix'!$N$96="Model Default",'IV. LCOE, Baseline Energy Mix'!AL27,IF('II. Inputs, Baseline Energy Mix'!$N$96="User-defined, annually adjusted",'IV. LCOE, Baseline Energy Mix'!AL28,IF('II. Inputs, Baseline Energy Mix'!$N$96="Manual Entry",'IV. LCOE, Baseline Energy Mix'!AL30,AL29)))</f>
        <v>0</v>
      </c>
      <c r="AM26" s="233">
        <f>IF('II. Inputs, Baseline Energy Mix'!$N$96="Model Default",'IV. LCOE, Baseline Energy Mix'!AM27,IF('II. Inputs, Baseline Energy Mix'!$N$96="User-defined, annually adjusted",'IV. LCOE, Baseline Energy Mix'!AM28,IF('II. Inputs, Baseline Energy Mix'!$N$96="Manual Entry",'IV. LCOE, Baseline Energy Mix'!AM30,AM29)))</f>
        <v>0</v>
      </c>
      <c r="AN26" s="233">
        <f>IF('II. Inputs, Baseline Energy Mix'!$N$96="Model Default",'IV. LCOE, Baseline Energy Mix'!AN27,IF('II. Inputs, Baseline Energy Mix'!$N$96="User-defined, annually adjusted",'IV. LCOE, Baseline Energy Mix'!AN28,IF('II. Inputs, Baseline Energy Mix'!$N$96="Manual Entry",'IV. LCOE, Baseline Energy Mix'!AN30,AN29)))</f>
        <v>0</v>
      </c>
      <c r="AO26" s="233">
        <f>IF('II. Inputs, Baseline Energy Mix'!$N$96="Model Default",'IV. LCOE, Baseline Energy Mix'!AO27,IF('II. Inputs, Baseline Energy Mix'!$N$96="User-defined, annually adjusted",'IV. LCOE, Baseline Energy Mix'!AO28,IF('II. Inputs, Baseline Energy Mix'!$N$96="Manual Entry",'IV. LCOE, Baseline Energy Mix'!AO30,AO29)))</f>
        <v>0</v>
      </c>
      <c r="AP26" s="233">
        <f>IF('II. Inputs, Baseline Energy Mix'!$N$96="Model Default",'IV. LCOE, Baseline Energy Mix'!AP27,IF('II. Inputs, Baseline Energy Mix'!$N$96="User-defined, annually adjusted",'IV. LCOE, Baseline Energy Mix'!AP28,IF('II. Inputs, Baseline Energy Mix'!$N$96="Manual Entry",'IV. LCOE, Baseline Energy Mix'!AP30,AP29)))</f>
        <v>0</v>
      </c>
      <c r="AQ26" s="233">
        <f>IF('II. Inputs, Baseline Energy Mix'!$N$96="Model Default",'IV. LCOE, Baseline Energy Mix'!AQ27,IF('II. Inputs, Baseline Energy Mix'!$N$96="User-defined, annually adjusted",'IV. LCOE, Baseline Energy Mix'!AQ28,IF('II. Inputs, Baseline Energy Mix'!$N$96="Manual Entry",'IV. LCOE, Baseline Energy Mix'!AQ30,AQ29)))</f>
        <v>0</v>
      </c>
      <c r="AR26" s="233">
        <f>IF('II. Inputs, Baseline Energy Mix'!$N$96="Model Default",'IV. LCOE, Baseline Energy Mix'!AR27,IF('II. Inputs, Baseline Energy Mix'!$N$96="User-defined, annually adjusted",'IV. LCOE, Baseline Energy Mix'!AR28,IF('II. Inputs, Baseline Energy Mix'!$N$96="Manual Entry",'IV. LCOE, Baseline Energy Mix'!AR30,AR29)))</f>
        <v>0</v>
      </c>
      <c r="AS26" s="233">
        <f>IF('II. Inputs, Baseline Energy Mix'!$N$96="Model Default",'IV. LCOE, Baseline Energy Mix'!AS27,IF('II. Inputs, Baseline Energy Mix'!$N$96="User-defined, annually adjusted",'IV. LCOE, Baseline Energy Mix'!AS28,IF('II. Inputs, Baseline Energy Mix'!$N$96="Manual Entry",'IV. LCOE, Baseline Energy Mix'!AS30,AS29)))</f>
        <v>0</v>
      </c>
      <c r="AT26" s="233">
        <f>IF('II. Inputs, Baseline Energy Mix'!$N$96="Model Default",'IV. LCOE, Baseline Energy Mix'!AT27,IF('II. Inputs, Baseline Energy Mix'!$N$96="User-defined, annually adjusted",'IV. LCOE, Baseline Energy Mix'!AT28,IF('II. Inputs, Baseline Energy Mix'!$N$96="Manual Entry",'IV. LCOE, Baseline Energy Mix'!AT30,AT29)))</f>
        <v>0</v>
      </c>
      <c r="AU26" s="233">
        <f>IF('II. Inputs, Baseline Energy Mix'!$N$96="Model Default",'IV. LCOE, Baseline Energy Mix'!AU27,IF('II. Inputs, Baseline Energy Mix'!$N$96="User-defined, annually adjusted",'IV. LCOE, Baseline Energy Mix'!AU28,IF('II. Inputs, Baseline Energy Mix'!$N$96="Manual Entry",'IV. LCOE, Baseline Energy Mix'!AU30,AU29)))</f>
        <v>0</v>
      </c>
      <c r="AV26" s="233">
        <f>IF('II. Inputs, Baseline Energy Mix'!$N$96="Model Default",'IV. LCOE, Baseline Energy Mix'!AV27,IF('II. Inputs, Baseline Energy Mix'!$N$96="User-defined, annually adjusted",'IV. LCOE, Baseline Energy Mix'!AV28,IF('II. Inputs, Baseline Energy Mix'!$N$96="Manual Entry",'IV. LCOE, Baseline Energy Mix'!AV30,AV29)))</f>
        <v>0</v>
      </c>
      <c r="AW26" s="233">
        <f>IF('II. Inputs, Baseline Energy Mix'!$N$96="Model Default",'IV. LCOE, Baseline Energy Mix'!AW27,IF('II. Inputs, Baseline Energy Mix'!$N$96="User-defined, annually adjusted",'IV. LCOE, Baseline Energy Mix'!AW28,IF('II. Inputs, Baseline Energy Mix'!$N$96="Manual Entry",'IV. LCOE, Baseline Energy Mix'!AW30,AW29)))</f>
        <v>0</v>
      </c>
      <c r="AX26" s="233">
        <f>IF('II. Inputs, Baseline Energy Mix'!$N$96="Model Default",'IV. LCOE, Baseline Energy Mix'!AX27,IF('II. Inputs, Baseline Energy Mix'!$N$96="User-defined, annually adjusted",'IV. LCOE, Baseline Energy Mix'!AX28,IF('II. Inputs, Baseline Energy Mix'!$N$96="Manual Entry",'IV. LCOE, Baseline Energy Mix'!AX30,AX29)))</f>
        <v>0</v>
      </c>
      <c r="AY26" s="233">
        <f>IF('II. Inputs, Baseline Energy Mix'!$N$96="Model Default",'IV. LCOE, Baseline Energy Mix'!AY27,IF('II. Inputs, Baseline Energy Mix'!$N$96="User-defined, annually adjusted",'IV. LCOE, Baseline Energy Mix'!AY28,IF('II. Inputs, Baseline Energy Mix'!$N$96="Manual Entry",'IV. LCOE, Baseline Energy Mix'!AY30,AY29)))</f>
        <v>0</v>
      </c>
      <c r="AZ26" s="233">
        <f>IF('II. Inputs, Baseline Energy Mix'!$N$96="Model Default",'IV. LCOE, Baseline Energy Mix'!AZ27,IF('II. Inputs, Baseline Energy Mix'!$N$96="User-defined, annually adjusted",'IV. LCOE, Baseline Energy Mix'!AZ28,IF('II. Inputs, Baseline Energy Mix'!$N$96="Manual Entry",'IV. LCOE, Baseline Energy Mix'!AZ30,AZ29)))</f>
        <v>0</v>
      </c>
      <c r="BA26" s="233">
        <f>IF('II. Inputs, Baseline Energy Mix'!$N$96="Model Default",'IV. LCOE, Baseline Energy Mix'!BA27,IF('II. Inputs, Baseline Energy Mix'!$N$96="User-defined, annually adjusted",'IV. LCOE, Baseline Energy Mix'!BA28,IF('II. Inputs, Baseline Energy Mix'!$N$96="Manual Entry",'IV. LCOE, Baseline Energy Mix'!BA30,BA29)))</f>
        <v>0</v>
      </c>
      <c r="BB26" s="233">
        <f>IF('II. Inputs, Baseline Energy Mix'!$N$96="Model Default",'IV. LCOE, Baseline Energy Mix'!BB27,IF('II. Inputs, Baseline Energy Mix'!$N$96="User-defined, annually adjusted",'IV. LCOE, Baseline Energy Mix'!BB28,IF('II. Inputs, Baseline Energy Mix'!$N$96="Manual Entry",'IV. LCOE, Baseline Energy Mix'!BB30,BB29)))</f>
        <v>0</v>
      </c>
      <c r="BC26" s="233">
        <f>IF('II. Inputs, Baseline Energy Mix'!$N$96="Model Default",'IV. LCOE, Baseline Energy Mix'!BC27,IF('II. Inputs, Baseline Energy Mix'!$N$96="User-defined, annually adjusted",'IV. LCOE, Baseline Energy Mix'!BC28,IF('II. Inputs, Baseline Energy Mix'!$N$96="Manual Entry",'IV. LCOE, Baseline Energy Mix'!BC30,BC29)))</f>
        <v>0</v>
      </c>
      <c r="BD26" s="233">
        <f>IF('II. Inputs, Baseline Energy Mix'!$N$96="Model Default",'IV. LCOE, Baseline Energy Mix'!BD27,IF('II. Inputs, Baseline Energy Mix'!$N$96="User-defined, annually adjusted",'IV. LCOE, Baseline Energy Mix'!BD28,IF('II. Inputs, Baseline Energy Mix'!$N$96="Manual Entry",'IV. LCOE, Baseline Energy Mix'!BD30,BD29)))</f>
        <v>0</v>
      </c>
      <c r="BE26" s="1403">
        <f>IF('II. Inputs, Baseline Energy Mix'!$N$96="Model Default",'IV. LCOE, Baseline Energy Mix'!BE27,IF('II. Inputs, Baseline Energy Mix'!$N$96="User-defined, annually adjusted",'IV. LCOE, Baseline Energy Mix'!BE28,IF('II. Inputs, Baseline Energy Mix'!$N$96="Manual Entry",'IV. LCOE, Baseline Energy Mix'!BE30,BE29)))</f>
        <v>0</v>
      </c>
    </row>
    <row r="27" spans="2:57" outlineLevel="1" x14ac:dyDescent="0.25">
      <c r="B27" s="222"/>
      <c r="C27" s="220" t="s">
        <v>159</v>
      </c>
      <c r="D27" s="220"/>
      <c r="E27" s="224"/>
      <c r="F27" s="224"/>
      <c r="G27" s="220"/>
      <c r="H27" s="233">
        <f>H18*VLOOKUP('IV. LCOE, Baseline Energy Mix'!H$13,'VII. Additional Data'!$C$17:$V$66,3, FALSE)</f>
        <v>12.84051251593011</v>
      </c>
      <c r="I27" s="233">
        <f>I18*VLOOKUP('IV. LCOE, Baseline Energy Mix'!I$13,'VII. Additional Data'!$C$17:$V$66,3, FALSE)</f>
        <v>14.145768773895165</v>
      </c>
      <c r="J27" s="233">
        <f>J18*VLOOKUP('IV. LCOE, Baseline Energy Mix'!J$13,'VII. Additional Data'!$C$17:$V$66,3, FALSE)</f>
        <v>15.451025031860219</v>
      </c>
      <c r="K27" s="233">
        <f>K18*VLOOKUP('IV. LCOE, Baseline Energy Mix'!K$13,'VII. Additional Data'!$C$17:$V$66,3, FALSE)</f>
        <v>16.756281289825274</v>
      </c>
      <c r="L27" s="233">
        <f>L18*VLOOKUP('IV. LCOE, Baseline Energy Mix'!L$13,'VII. Additional Data'!$C$17:$V$66,3, FALSE)</f>
        <v>18.06153754779033</v>
      </c>
      <c r="M27" s="233">
        <f>M18*VLOOKUP('IV. LCOE, Baseline Energy Mix'!M$13,'VII. Additional Data'!$C$17:$V$66,3, FALSE)</f>
        <v>19.366793805755385</v>
      </c>
      <c r="N27" s="233">
        <f>N18*VLOOKUP('IV. LCOE, Baseline Energy Mix'!N$13,'VII. Additional Data'!$C$17:$V$66,3, FALSE)</f>
        <v>20.672050063720441</v>
      </c>
      <c r="O27" s="233">
        <f>O18*VLOOKUP('IV. LCOE, Baseline Energy Mix'!O$13,'VII. Additional Data'!$C$17:$V$66,3, FALSE)</f>
        <v>21.977306321685496</v>
      </c>
      <c r="P27" s="233">
        <f>P18*VLOOKUP('IV. LCOE, Baseline Energy Mix'!P$13,'VII. Additional Data'!$C$17:$V$66,3, FALSE)</f>
        <v>23.282562579650548</v>
      </c>
      <c r="Q27" s="233">
        <f>Q18*VLOOKUP('IV. LCOE, Baseline Energy Mix'!Q$13,'VII. Additional Data'!$C$17:$V$66,3, FALSE)</f>
        <v>24.587818837615604</v>
      </c>
      <c r="R27" s="233">
        <f>R18*VLOOKUP('IV. LCOE, Baseline Energy Mix'!R$13,'VII. Additional Data'!$C$17:$V$66,3, FALSE)</f>
        <v>25.893075095580659</v>
      </c>
      <c r="S27" s="233">
        <f>S18*VLOOKUP('IV. LCOE, Baseline Energy Mix'!S$13,'VII. Additional Data'!$C$17:$V$66,3, FALSE)</f>
        <v>27.198331353545715</v>
      </c>
      <c r="T27" s="233">
        <f>T18*VLOOKUP('IV. LCOE, Baseline Energy Mix'!T$13,'VII. Additional Data'!$C$17:$V$66,3, FALSE)</f>
        <v>28.503587611510767</v>
      </c>
      <c r="U27" s="233">
        <f>U18*VLOOKUP('IV. LCOE, Baseline Energy Mix'!U$13,'VII. Additional Data'!$C$17:$V$66,3, FALSE)</f>
        <v>29.808843869475822</v>
      </c>
      <c r="V27" s="233">
        <f>V18*VLOOKUP('IV. LCOE, Baseline Energy Mix'!V$13,'VII. Additional Data'!$C$17:$V$66,3, FALSE)</f>
        <v>31.114100127440878</v>
      </c>
      <c r="W27" s="233">
        <f>W18*VLOOKUP('IV. LCOE, Baseline Energy Mix'!W$13,'VII. Additional Data'!$C$17:$V$66,3, FALSE)</f>
        <v>32.419356385405933</v>
      </c>
      <c r="X27" s="233">
        <f>X18*VLOOKUP('IV. LCOE, Baseline Energy Mix'!X$13,'VII. Additional Data'!$C$17:$V$66,3, FALSE)</f>
        <v>33.724612643370989</v>
      </c>
      <c r="Y27" s="233">
        <f>Y18*VLOOKUP('IV. LCOE, Baseline Energy Mix'!Y$13,'VII. Additional Data'!$C$17:$V$66,3, FALSE)</f>
        <v>35.029868901336044</v>
      </c>
      <c r="Z27" s="233">
        <f>Z18*VLOOKUP('IV. LCOE, Baseline Energy Mix'!Z$13,'VII. Additional Data'!$C$17:$V$66,3, FALSE)</f>
        <v>36.3351251593011</v>
      </c>
      <c r="AA27" s="233">
        <f>AA18*VLOOKUP('IV. LCOE, Baseline Energy Mix'!AA$13,'VII. Additional Data'!$C$17:$V$66,3, FALSE)</f>
        <v>37.577556476360257</v>
      </c>
      <c r="AB27" s="233">
        <f>AB18*VLOOKUP('IV. LCOE, Baseline Energy Mix'!AB$13,'VII. Additional Data'!$C$17:$V$66,3, FALSE)</f>
        <v>38.819987793419422</v>
      </c>
      <c r="AC27" s="233">
        <f>AC18*VLOOKUP('IV. LCOE, Baseline Energy Mix'!AC$13,'VII. Additional Data'!$C$17:$V$66,3, FALSE)</f>
        <v>40.062419110478587</v>
      </c>
      <c r="AD27" s="233">
        <f>AD18*VLOOKUP('IV. LCOE, Baseline Energy Mix'!AD$13,'VII. Additional Data'!$C$17:$V$66,3, FALSE)</f>
        <v>41.304850427537744</v>
      </c>
      <c r="AE27" s="233">
        <f>AE18*VLOOKUP('IV. LCOE, Baseline Energy Mix'!AE$13,'VII. Additional Data'!$C$17:$V$66,3, FALSE)</f>
        <v>42.547281744596908</v>
      </c>
      <c r="AF27" s="233">
        <f>AF18*VLOOKUP('IV. LCOE, Baseline Energy Mix'!AF$13,'VII. Additional Data'!$C$17:$V$66,3, FALSE)</f>
        <v>43.789713061656073</v>
      </c>
      <c r="AG27" s="233">
        <f>AG18*VLOOKUP('IV. LCOE, Baseline Energy Mix'!AG$13,'VII. Additional Data'!$C$17:$V$66,3, FALSE)</f>
        <v>0</v>
      </c>
      <c r="AH27" s="233">
        <f>AH18*VLOOKUP('IV. LCOE, Baseline Energy Mix'!AH$13,'VII. Additional Data'!$C$17:$V$66,3, FALSE)</f>
        <v>0</v>
      </c>
      <c r="AI27" s="233">
        <f>AI18*VLOOKUP('IV. LCOE, Baseline Energy Mix'!AI$13,'VII. Additional Data'!$C$17:$V$66,3, FALSE)</f>
        <v>0</v>
      </c>
      <c r="AJ27" s="233">
        <f>AJ18*VLOOKUP('IV. LCOE, Baseline Energy Mix'!AJ$13,'VII. Additional Data'!$C$17:$V$66,3, FALSE)</f>
        <v>0</v>
      </c>
      <c r="AK27" s="233">
        <f>AK18*VLOOKUP('IV. LCOE, Baseline Energy Mix'!AK$13,'VII. Additional Data'!$C$17:$V$66,3, FALSE)</f>
        <v>0</v>
      </c>
      <c r="AL27" s="233">
        <f>AL18*VLOOKUP('IV. LCOE, Baseline Energy Mix'!AL$13,'VII. Additional Data'!$C$17:$V$66,3, FALSE)</f>
        <v>0</v>
      </c>
      <c r="AM27" s="233">
        <f>AM18*VLOOKUP('IV. LCOE, Baseline Energy Mix'!AM$13,'VII. Additional Data'!$C$17:$V$66,3, FALSE)</f>
        <v>0</v>
      </c>
      <c r="AN27" s="233">
        <f>AN18*VLOOKUP('IV. LCOE, Baseline Energy Mix'!AN$13,'VII. Additional Data'!$C$17:$V$66,3, FALSE)</f>
        <v>0</v>
      </c>
      <c r="AO27" s="233">
        <f>AO18*VLOOKUP('IV. LCOE, Baseline Energy Mix'!AO$13,'VII. Additional Data'!$C$17:$V$66,3, FALSE)</f>
        <v>0</v>
      </c>
      <c r="AP27" s="233">
        <f>AP18*VLOOKUP('IV. LCOE, Baseline Energy Mix'!AP$13,'VII. Additional Data'!$C$17:$V$66,3, FALSE)</f>
        <v>0</v>
      </c>
      <c r="AQ27" s="233">
        <f>AQ18*VLOOKUP('IV. LCOE, Baseline Energy Mix'!AQ$13,'VII. Additional Data'!$C$17:$V$66,3, FALSE)</f>
        <v>0</v>
      </c>
      <c r="AR27" s="233">
        <f>AR18*VLOOKUP('IV. LCOE, Baseline Energy Mix'!AR$13,'VII. Additional Data'!$C$17:$V$66,3, FALSE)</f>
        <v>0</v>
      </c>
      <c r="AS27" s="233">
        <f>AS18*VLOOKUP('IV. LCOE, Baseline Energy Mix'!AS$13,'VII. Additional Data'!$C$17:$V$66,3, FALSE)</f>
        <v>0</v>
      </c>
      <c r="AT27" s="233">
        <f>AT18*VLOOKUP('IV. LCOE, Baseline Energy Mix'!AT$13,'VII. Additional Data'!$C$17:$V$66,3, FALSE)</f>
        <v>0</v>
      </c>
      <c r="AU27" s="233">
        <f>AU18*VLOOKUP('IV. LCOE, Baseline Energy Mix'!AU$13,'VII. Additional Data'!$C$17:$V$66,3, FALSE)</f>
        <v>0</v>
      </c>
      <c r="AV27" s="233">
        <f>AV18*VLOOKUP('IV. LCOE, Baseline Energy Mix'!AV$13,'VII. Additional Data'!$C$17:$V$66,3, FALSE)</f>
        <v>0</v>
      </c>
      <c r="AW27" s="233">
        <f>AW18*VLOOKUP('IV. LCOE, Baseline Energy Mix'!AW$13,'VII. Additional Data'!$C$17:$V$66,3, FALSE)</f>
        <v>0</v>
      </c>
      <c r="AX27" s="233">
        <f>AX18*VLOOKUP('IV. LCOE, Baseline Energy Mix'!AX$13,'VII. Additional Data'!$C$17:$V$66,3, FALSE)</f>
        <v>0</v>
      </c>
      <c r="AY27" s="233">
        <f>AY18*VLOOKUP('IV. LCOE, Baseline Energy Mix'!AY$13,'VII. Additional Data'!$C$17:$V$66,3, FALSE)</f>
        <v>0</v>
      </c>
      <c r="AZ27" s="233">
        <f>AZ18*VLOOKUP('IV. LCOE, Baseline Energy Mix'!AZ$13,'VII. Additional Data'!$C$17:$V$66,3, FALSE)</f>
        <v>0</v>
      </c>
      <c r="BA27" s="233">
        <f>BA18*VLOOKUP('IV. LCOE, Baseline Energy Mix'!BA$13,'VII. Additional Data'!$C$17:$V$66,3, FALSE)</f>
        <v>0</v>
      </c>
      <c r="BB27" s="233">
        <f>BB18*VLOOKUP('IV. LCOE, Baseline Energy Mix'!BB$13,'VII. Additional Data'!$C$17:$V$66,3, FALSE)</f>
        <v>0</v>
      </c>
      <c r="BC27" s="233">
        <f>BC18*VLOOKUP('IV. LCOE, Baseline Energy Mix'!BC$13,'VII. Additional Data'!$C$17:$V$66,3, FALSE)</f>
        <v>0</v>
      </c>
      <c r="BD27" s="233">
        <f>BD18*VLOOKUP('IV. LCOE, Baseline Energy Mix'!BD$13,'VII. Additional Data'!$C$17:$V$66,3, FALSE)</f>
        <v>0</v>
      </c>
      <c r="BE27" s="1403">
        <f>BE18*VLOOKUP('IV. LCOE, Baseline Energy Mix'!BE$13,'VII. Additional Data'!$C$17:$V$66,3, FALSE)</f>
        <v>0</v>
      </c>
    </row>
    <row r="28" spans="2:57" outlineLevel="1" x14ac:dyDescent="0.25">
      <c r="B28" s="222"/>
      <c r="C28" s="220" t="s">
        <v>160</v>
      </c>
      <c r="D28" s="220"/>
      <c r="E28" s="224"/>
      <c r="F28" s="224"/>
      <c r="G28" s="220"/>
      <c r="H28" s="233">
        <f xml:space="preserve"> H18*'II. Inputs, Baseline Energy Mix'!$N$98*(1+'II. Inputs, Baseline Energy Mix'!$N$99)^('IV. LCOE, Baseline Energy Mix'!H$13-1)</f>
        <v>0</v>
      </c>
      <c r="I28" s="233">
        <f xml:space="preserve"> I18*'II. Inputs, Baseline Energy Mix'!$N$98*(1+'II. Inputs, Baseline Energy Mix'!$N$99)^('IV. LCOE, Baseline Energy Mix'!I$13-1)</f>
        <v>0</v>
      </c>
      <c r="J28" s="233">
        <f xml:space="preserve"> J18*'II. Inputs, Baseline Energy Mix'!$N$98*(1+'II. Inputs, Baseline Energy Mix'!$N$99)^('IV. LCOE, Baseline Energy Mix'!J$13-1)</f>
        <v>0</v>
      </c>
      <c r="K28" s="233">
        <f xml:space="preserve"> K18*'II. Inputs, Baseline Energy Mix'!$N$98*(1+'II. Inputs, Baseline Energy Mix'!$N$99)^('IV. LCOE, Baseline Energy Mix'!K$13-1)</f>
        <v>0</v>
      </c>
      <c r="L28" s="233">
        <f xml:space="preserve"> L18*'II. Inputs, Baseline Energy Mix'!$N$98*(1+'II. Inputs, Baseline Energy Mix'!$N$99)^('IV. LCOE, Baseline Energy Mix'!L$13-1)</f>
        <v>0</v>
      </c>
      <c r="M28" s="233">
        <f xml:space="preserve"> M18*'II. Inputs, Baseline Energy Mix'!$N$98*(1+'II. Inputs, Baseline Energy Mix'!$N$99)^('IV. LCOE, Baseline Energy Mix'!M$13-1)</f>
        <v>0</v>
      </c>
      <c r="N28" s="233">
        <f xml:space="preserve"> N18*'II. Inputs, Baseline Energy Mix'!$N$98*(1+'II. Inputs, Baseline Energy Mix'!$N$99)^('IV. LCOE, Baseline Energy Mix'!N$13-1)</f>
        <v>0</v>
      </c>
      <c r="O28" s="233">
        <f xml:space="preserve"> O18*'II. Inputs, Baseline Energy Mix'!$N$98*(1+'II. Inputs, Baseline Energy Mix'!$N$99)^('IV. LCOE, Baseline Energy Mix'!O$13-1)</f>
        <v>0</v>
      </c>
      <c r="P28" s="233">
        <f xml:space="preserve"> P18*'II. Inputs, Baseline Energy Mix'!$N$98*(1+'II. Inputs, Baseline Energy Mix'!$N$99)^('IV. LCOE, Baseline Energy Mix'!P$13-1)</f>
        <v>0</v>
      </c>
      <c r="Q28" s="233">
        <f xml:space="preserve"> Q18*'II. Inputs, Baseline Energy Mix'!$N$98*(1+'II. Inputs, Baseline Energy Mix'!$N$99)^('IV. LCOE, Baseline Energy Mix'!Q$13-1)</f>
        <v>0</v>
      </c>
      <c r="R28" s="233">
        <f xml:space="preserve"> R18*'II. Inputs, Baseline Energy Mix'!$N$98*(1+'II. Inputs, Baseline Energy Mix'!$N$99)^('IV. LCOE, Baseline Energy Mix'!R$13-1)</f>
        <v>0</v>
      </c>
      <c r="S28" s="233">
        <f xml:space="preserve"> S18*'II. Inputs, Baseline Energy Mix'!$N$98*(1+'II. Inputs, Baseline Energy Mix'!$N$99)^('IV. LCOE, Baseline Energy Mix'!S$13-1)</f>
        <v>0</v>
      </c>
      <c r="T28" s="233">
        <f xml:space="preserve"> T18*'II. Inputs, Baseline Energy Mix'!$N$98*(1+'II. Inputs, Baseline Energy Mix'!$N$99)^('IV. LCOE, Baseline Energy Mix'!T$13-1)</f>
        <v>0</v>
      </c>
      <c r="U28" s="233">
        <f xml:space="preserve"> U18*'II. Inputs, Baseline Energy Mix'!$N$98*(1+'II. Inputs, Baseline Energy Mix'!$N$99)^('IV. LCOE, Baseline Energy Mix'!U$13-1)</f>
        <v>0</v>
      </c>
      <c r="V28" s="233">
        <f xml:space="preserve"> V18*'II. Inputs, Baseline Energy Mix'!$N$98*(1+'II. Inputs, Baseline Energy Mix'!$N$99)^('IV. LCOE, Baseline Energy Mix'!V$13-1)</f>
        <v>0</v>
      </c>
      <c r="W28" s="233">
        <f xml:space="preserve"> W18*'II. Inputs, Baseline Energy Mix'!$N$98*(1+'II. Inputs, Baseline Energy Mix'!$N$99)^('IV. LCOE, Baseline Energy Mix'!W$13-1)</f>
        <v>0</v>
      </c>
      <c r="X28" s="233">
        <f xml:space="preserve"> X18*'II. Inputs, Baseline Energy Mix'!$N$98*(1+'II. Inputs, Baseline Energy Mix'!$N$99)^('IV. LCOE, Baseline Energy Mix'!X$13-1)</f>
        <v>0</v>
      </c>
      <c r="Y28" s="233">
        <f xml:space="preserve"> Y18*'II. Inputs, Baseline Energy Mix'!$N$98*(1+'II. Inputs, Baseline Energy Mix'!$N$99)^('IV. LCOE, Baseline Energy Mix'!Y$13-1)</f>
        <v>0</v>
      </c>
      <c r="Z28" s="233">
        <f xml:space="preserve"> Z18*'II. Inputs, Baseline Energy Mix'!$N$98*(1+'II. Inputs, Baseline Energy Mix'!$N$99)^('IV. LCOE, Baseline Energy Mix'!Z$13-1)</f>
        <v>0</v>
      </c>
      <c r="AA28" s="233">
        <f xml:space="preserve"> AA18*'II. Inputs, Baseline Energy Mix'!$N$98*(1+'II. Inputs, Baseline Energy Mix'!$N$99)^('IV. LCOE, Baseline Energy Mix'!AA$13-1)</f>
        <v>0</v>
      </c>
      <c r="AB28" s="233">
        <f xml:space="preserve"> AB18*'II. Inputs, Baseline Energy Mix'!$N$98*(1+'II. Inputs, Baseline Energy Mix'!$N$99)^('IV. LCOE, Baseline Energy Mix'!AB$13-1)</f>
        <v>0</v>
      </c>
      <c r="AC28" s="233">
        <f xml:space="preserve"> AC18*'II. Inputs, Baseline Energy Mix'!$N$98*(1+'II. Inputs, Baseline Energy Mix'!$N$99)^('IV. LCOE, Baseline Energy Mix'!AC$13-1)</f>
        <v>0</v>
      </c>
      <c r="AD28" s="233">
        <f xml:space="preserve"> AD18*'II. Inputs, Baseline Energy Mix'!$N$98*(1+'II. Inputs, Baseline Energy Mix'!$N$99)^('IV. LCOE, Baseline Energy Mix'!AD$13-1)</f>
        <v>0</v>
      </c>
      <c r="AE28" s="233">
        <f xml:space="preserve"> AE18*'II. Inputs, Baseline Energy Mix'!$N$98*(1+'II. Inputs, Baseline Energy Mix'!$N$99)^('IV. LCOE, Baseline Energy Mix'!AE$13-1)</f>
        <v>0</v>
      </c>
      <c r="AF28" s="233">
        <f xml:space="preserve"> AF18*'II. Inputs, Baseline Energy Mix'!$N$98*(1+'II. Inputs, Baseline Energy Mix'!$N$99)^('IV. LCOE, Baseline Energy Mix'!AF$13-1)</f>
        <v>0</v>
      </c>
      <c r="AG28" s="233">
        <f xml:space="preserve"> AG18*'II. Inputs, Baseline Energy Mix'!$N$98*(1+'II. Inputs, Baseline Energy Mix'!$N$99)^('IV. LCOE, Baseline Energy Mix'!AG$13-1)</f>
        <v>0</v>
      </c>
      <c r="AH28" s="233">
        <f xml:space="preserve"> AH18*'II. Inputs, Baseline Energy Mix'!$N$98*(1+'II. Inputs, Baseline Energy Mix'!$N$99)^('IV. LCOE, Baseline Energy Mix'!AH$13-1)</f>
        <v>0</v>
      </c>
      <c r="AI28" s="233">
        <f xml:space="preserve"> AI18*'II. Inputs, Baseline Energy Mix'!$N$98*(1+'II. Inputs, Baseline Energy Mix'!$N$99)^('IV. LCOE, Baseline Energy Mix'!AI$13-1)</f>
        <v>0</v>
      </c>
      <c r="AJ28" s="233">
        <f xml:space="preserve"> AJ18*'II. Inputs, Baseline Energy Mix'!$N$98*(1+'II. Inputs, Baseline Energy Mix'!$N$99)^('IV. LCOE, Baseline Energy Mix'!AJ$13-1)</f>
        <v>0</v>
      </c>
      <c r="AK28" s="233">
        <f xml:space="preserve"> AK18*'II. Inputs, Baseline Energy Mix'!$N$98*(1+'II. Inputs, Baseline Energy Mix'!$N$99)^('IV. LCOE, Baseline Energy Mix'!AK$13-1)</f>
        <v>0</v>
      </c>
      <c r="AL28" s="233">
        <f xml:space="preserve"> AL18*'II. Inputs, Baseline Energy Mix'!$N$98*(1+'II. Inputs, Baseline Energy Mix'!$N$99)^('IV. LCOE, Baseline Energy Mix'!AL$13-1)</f>
        <v>0</v>
      </c>
      <c r="AM28" s="233">
        <f xml:space="preserve"> AM18*'II. Inputs, Baseline Energy Mix'!$N$98*(1+'II. Inputs, Baseline Energy Mix'!$N$99)^('IV. LCOE, Baseline Energy Mix'!AM$13-1)</f>
        <v>0</v>
      </c>
      <c r="AN28" s="233">
        <f xml:space="preserve"> AN18*'II. Inputs, Baseline Energy Mix'!$N$98*(1+'II. Inputs, Baseline Energy Mix'!$N$99)^('IV. LCOE, Baseline Energy Mix'!AN$13-1)</f>
        <v>0</v>
      </c>
      <c r="AO28" s="233">
        <f xml:space="preserve"> AO18*'II. Inputs, Baseline Energy Mix'!$N$98*(1+'II. Inputs, Baseline Energy Mix'!$N$99)^('IV. LCOE, Baseline Energy Mix'!AO$13-1)</f>
        <v>0</v>
      </c>
      <c r="AP28" s="233">
        <f xml:space="preserve"> AP18*'II. Inputs, Baseline Energy Mix'!$N$98*(1+'II. Inputs, Baseline Energy Mix'!$N$99)^('IV. LCOE, Baseline Energy Mix'!AP$13-1)</f>
        <v>0</v>
      </c>
      <c r="AQ28" s="233">
        <f xml:space="preserve"> AQ18*'II. Inputs, Baseline Energy Mix'!$N$98*(1+'II. Inputs, Baseline Energy Mix'!$N$99)^('IV. LCOE, Baseline Energy Mix'!AQ$13-1)</f>
        <v>0</v>
      </c>
      <c r="AR28" s="233">
        <f xml:space="preserve"> AR18*'II. Inputs, Baseline Energy Mix'!$N$98*(1+'II. Inputs, Baseline Energy Mix'!$N$99)^('IV. LCOE, Baseline Energy Mix'!AR$13-1)</f>
        <v>0</v>
      </c>
      <c r="AS28" s="233">
        <f xml:space="preserve"> AS18*'II. Inputs, Baseline Energy Mix'!$N$98*(1+'II. Inputs, Baseline Energy Mix'!$N$99)^('IV. LCOE, Baseline Energy Mix'!AS$13-1)</f>
        <v>0</v>
      </c>
      <c r="AT28" s="233">
        <f xml:space="preserve"> AT18*'II. Inputs, Baseline Energy Mix'!$N$98*(1+'II. Inputs, Baseline Energy Mix'!$N$99)^('IV. LCOE, Baseline Energy Mix'!AT$13-1)</f>
        <v>0</v>
      </c>
      <c r="AU28" s="233">
        <f xml:space="preserve"> AU18*'II. Inputs, Baseline Energy Mix'!$N$98*(1+'II. Inputs, Baseline Energy Mix'!$N$99)^('IV. LCOE, Baseline Energy Mix'!AU$13-1)</f>
        <v>0</v>
      </c>
      <c r="AV28" s="233">
        <f xml:space="preserve"> AV18*'II. Inputs, Baseline Energy Mix'!$N$98*(1+'II. Inputs, Baseline Energy Mix'!$N$99)^('IV. LCOE, Baseline Energy Mix'!AV$13-1)</f>
        <v>0</v>
      </c>
      <c r="AW28" s="233">
        <f xml:space="preserve"> AW18*'II. Inputs, Baseline Energy Mix'!$N$98*(1+'II. Inputs, Baseline Energy Mix'!$N$99)^('IV. LCOE, Baseline Energy Mix'!AW$13-1)</f>
        <v>0</v>
      </c>
      <c r="AX28" s="233">
        <f xml:space="preserve"> AX18*'II. Inputs, Baseline Energy Mix'!$N$98*(1+'II. Inputs, Baseline Energy Mix'!$N$99)^('IV. LCOE, Baseline Energy Mix'!AX$13-1)</f>
        <v>0</v>
      </c>
      <c r="AY28" s="233">
        <f xml:space="preserve"> AY18*'II. Inputs, Baseline Energy Mix'!$N$98*(1+'II. Inputs, Baseline Energy Mix'!$N$99)^('IV. LCOE, Baseline Energy Mix'!AY$13-1)</f>
        <v>0</v>
      </c>
      <c r="AZ28" s="233">
        <f xml:space="preserve"> AZ18*'II. Inputs, Baseline Energy Mix'!$N$98*(1+'II. Inputs, Baseline Energy Mix'!$N$99)^('IV. LCOE, Baseline Energy Mix'!AZ$13-1)</f>
        <v>0</v>
      </c>
      <c r="BA28" s="233">
        <f xml:space="preserve"> BA18*'II. Inputs, Baseline Energy Mix'!$N$98*(1+'II. Inputs, Baseline Energy Mix'!$N$99)^('IV. LCOE, Baseline Energy Mix'!BA$13-1)</f>
        <v>0</v>
      </c>
      <c r="BB28" s="233">
        <f xml:space="preserve"> BB18*'II. Inputs, Baseline Energy Mix'!$N$98*(1+'II. Inputs, Baseline Energy Mix'!$N$99)^('IV. LCOE, Baseline Energy Mix'!BB$13-1)</f>
        <v>0</v>
      </c>
      <c r="BC28" s="233">
        <f xml:space="preserve"> BC18*'II. Inputs, Baseline Energy Mix'!$N$98*(1+'II. Inputs, Baseline Energy Mix'!$N$99)^('IV. LCOE, Baseline Energy Mix'!BC$13-1)</f>
        <v>0</v>
      </c>
      <c r="BD28" s="233">
        <f xml:space="preserve"> BD18*'II. Inputs, Baseline Energy Mix'!$N$98*(1+'II. Inputs, Baseline Energy Mix'!$N$99)^('IV. LCOE, Baseline Energy Mix'!BD$13-1)</f>
        <v>0</v>
      </c>
      <c r="BE28" s="1403">
        <f xml:space="preserve"> BE18*'II. Inputs, Baseline Energy Mix'!$N$98*(1+'II. Inputs, Baseline Energy Mix'!$N$99)^('IV. LCOE, Baseline Energy Mix'!BE$13-1)</f>
        <v>0</v>
      </c>
    </row>
    <row r="29" spans="2:57" outlineLevel="1" x14ac:dyDescent="0.25">
      <c r="B29" s="222"/>
      <c r="C29" s="220" t="s">
        <v>161</v>
      </c>
      <c r="D29" s="220"/>
      <c r="E29" s="224"/>
      <c r="F29" s="224"/>
      <c r="G29" s="220"/>
      <c r="H29" s="233">
        <f xml:space="preserve"> H18*VLOOKUP('IV. LCOE, Baseline Energy Mix'!H$13,'VII. Additional Data'!$C$17:$V$66,9, FALSE)</f>
        <v>0</v>
      </c>
      <c r="I29" s="233">
        <f xml:space="preserve"> I18*VLOOKUP('IV. LCOE, Baseline Energy Mix'!I$13,'VII. Additional Data'!$C$17:$V$66,9, FALSE)</f>
        <v>0</v>
      </c>
      <c r="J29" s="233">
        <f xml:space="preserve"> J18*VLOOKUP('IV. LCOE, Baseline Energy Mix'!J$13,'VII. Additional Data'!$C$17:$V$66,9, FALSE)</f>
        <v>0</v>
      </c>
      <c r="K29" s="233">
        <f xml:space="preserve"> K18*VLOOKUP('IV. LCOE, Baseline Energy Mix'!K$13,'VII. Additional Data'!$C$17:$V$66,9, FALSE)</f>
        <v>0</v>
      </c>
      <c r="L29" s="233">
        <f xml:space="preserve"> L18*VLOOKUP('IV. LCOE, Baseline Energy Mix'!L$13,'VII. Additional Data'!$C$17:$V$66,9, FALSE)</f>
        <v>0</v>
      </c>
      <c r="M29" s="233">
        <f xml:space="preserve"> M18*VLOOKUP('IV. LCOE, Baseline Energy Mix'!M$13,'VII. Additional Data'!$C$17:$V$66,9, FALSE)</f>
        <v>0</v>
      </c>
      <c r="N29" s="233">
        <f xml:space="preserve"> N18*VLOOKUP('IV. LCOE, Baseline Energy Mix'!N$13,'VII. Additional Data'!$C$17:$V$66,9, FALSE)</f>
        <v>0</v>
      </c>
      <c r="O29" s="233">
        <f xml:space="preserve"> O18*VLOOKUP('IV. LCOE, Baseline Energy Mix'!O$13,'VII. Additional Data'!$C$17:$V$66,9, FALSE)</f>
        <v>0</v>
      </c>
      <c r="P29" s="233">
        <f xml:space="preserve"> P18*VLOOKUP('IV. LCOE, Baseline Energy Mix'!P$13,'VII. Additional Data'!$C$17:$V$66,9, FALSE)</f>
        <v>0</v>
      </c>
      <c r="Q29" s="233">
        <f xml:space="preserve"> Q18*VLOOKUP('IV. LCOE, Baseline Energy Mix'!Q$13,'VII. Additional Data'!$C$17:$V$66,9, FALSE)</f>
        <v>0</v>
      </c>
      <c r="R29" s="233">
        <f xml:space="preserve"> R18*VLOOKUP('IV. LCOE, Baseline Energy Mix'!R$13,'VII. Additional Data'!$C$17:$V$66,9, FALSE)</f>
        <v>0</v>
      </c>
      <c r="S29" s="233">
        <f xml:space="preserve"> S18*VLOOKUP('IV. LCOE, Baseline Energy Mix'!S$13,'VII. Additional Data'!$C$17:$V$66,9, FALSE)</f>
        <v>0</v>
      </c>
      <c r="T29" s="233">
        <f xml:space="preserve"> T18*VLOOKUP('IV. LCOE, Baseline Energy Mix'!T$13,'VII. Additional Data'!$C$17:$V$66,9, FALSE)</f>
        <v>0</v>
      </c>
      <c r="U29" s="233">
        <f xml:space="preserve"> U18*VLOOKUP('IV. LCOE, Baseline Energy Mix'!U$13,'VII. Additional Data'!$C$17:$V$66,9, FALSE)</f>
        <v>0</v>
      </c>
      <c r="V29" s="233">
        <f xml:space="preserve"> V18*VLOOKUP('IV. LCOE, Baseline Energy Mix'!V$13,'VII. Additional Data'!$C$17:$V$66,9, FALSE)</f>
        <v>0</v>
      </c>
      <c r="W29" s="233">
        <f xml:space="preserve"> W18*VLOOKUP('IV. LCOE, Baseline Energy Mix'!W$13,'VII. Additional Data'!$C$17:$V$66,9, FALSE)</f>
        <v>0</v>
      </c>
      <c r="X29" s="233">
        <f xml:space="preserve"> X18*VLOOKUP('IV. LCOE, Baseline Energy Mix'!X$13,'VII. Additional Data'!$C$17:$V$66,9, FALSE)</f>
        <v>0</v>
      </c>
      <c r="Y29" s="233">
        <f xml:space="preserve"> Y18*VLOOKUP('IV. LCOE, Baseline Energy Mix'!Y$13,'VII. Additional Data'!$C$17:$V$66,9, FALSE)</f>
        <v>0</v>
      </c>
      <c r="Z29" s="233">
        <f xml:space="preserve"> Z18*VLOOKUP('IV. LCOE, Baseline Energy Mix'!Z$13,'VII. Additional Data'!$C$17:$V$66,9, FALSE)</f>
        <v>0</v>
      </c>
      <c r="AA29" s="233">
        <f xml:space="preserve"> AA18*VLOOKUP('IV. LCOE, Baseline Energy Mix'!AA$13,'VII. Additional Data'!$C$17:$V$66,9, FALSE)</f>
        <v>0</v>
      </c>
      <c r="AB29" s="233">
        <f xml:space="preserve"> AB18*VLOOKUP('IV. LCOE, Baseline Energy Mix'!AB$13,'VII. Additional Data'!$C$17:$V$66,9, FALSE)</f>
        <v>0</v>
      </c>
      <c r="AC29" s="233">
        <f xml:space="preserve"> AC18*VLOOKUP('IV. LCOE, Baseline Energy Mix'!AC$13,'VII. Additional Data'!$C$17:$V$66,9, FALSE)</f>
        <v>0</v>
      </c>
      <c r="AD29" s="233">
        <f xml:space="preserve"> AD18*VLOOKUP('IV. LCOE, Baseline Energy Mix'!AD$13,'VII. Additional Data'!$C$17:$V$66,9, FALSE)</f>
        <v>0</v>
      </c>
      <c r="AE29" s="233">
        <f xml:space="preserve"> AE18*VLOOKUP('IV. LCOE, Baseline Energy Mix'!AE$13,'VII. Additional Data'!$C$17:$V$66,9, FALSE)</f>
        <v>0</v>
      </c>
      <c r="AF29" s="233">
        <f xml:space="preserve"> AF18*VLOOKUP('IV. LCOE, Baseline Energy Mix'!AF$13,'VII. Additional Data'!$C$17:$V$66,9, FALSE)</f>
        <v>0</v>
      </c>
      <c r="AG29" s="233">
        <f xml:space="preserve"> AG18*VLOOKUP('IV. LCOE, Baseline Energy Mix'!AG$13,'VII. Additional Data'!$C$17:$V$66,9, FALSE)</f>
        <v>0</v>
      </c>
      <c r="AH29" s="233">
        <f xml:space="preserve"> AH18*VLOOKUP('IV. LCOE, Baseline Energy Mix'!AH$13,'VII. Additional Data'!$C$17:$V$66,9, FALSE)</f>
        <v>0</v>
      </c>
      <c r="AI29" s="233">
        <f xml:space="preserve"> AI18*VLOOKUP('IV. LCOE, Baseline Energy Mix'!AI$13,'VII. Additional Data'!$C$17:$V$66,9, FALSE)</f>
        <v>0</v>
      </c>
      <c r="AJ29" s="233">
        <f xml:space="preserve"> AJ18*VLOOKUP('IV. LCOE, Baseline Energy Mix'!AJ$13,'VII. Additional Data'!$C$17:$V$66,9, FALSE)</f>
        <v>0</v>
      </c>
      <c r="AK29" s="233">
        <f xml:space="preserve"> AK18*VLOOKUP('IV. LCOE, Baseline Energy Mix'!AK$13,'VII. Additional Data'!$C$17:$V$66,9, FALSE)</f>
        <v>0</v>
      </c>
      <c r="AL29" s="233">
        <f xml:space="preserve"> AL18*VLOOKUP('IV. LCOE, Baseline Energy Mix'!AL$13,'VII. Additional Data'!$C$17:$V$66,9, FALSE)</f>
        <v>0</v>
      </c>
      <c r="AM29" s="233">
        <f xml:space="preserve"> AM18*VLOOKUP('IV. LCOE, Baseline Energy Mix'!AM$13,'VII. Additional Data'!$C$17:$V$66,9, FALSE)</f>
        <v>0</v>
      </c>
      <c r="AN29" s="233">
        <f xml:space="preserve"> AN18*VLOOKUP('IV. LCOE, Baseline Energy Mix'!AN$13,'VII. Additional Data'!$C$17:$V$66,9, FALSE)</f>
        <v>0</v>
      </c>
      <c r="AO29" s="233">
        <f xml:space="preserve"> AO18*VLOOKUP('IV. LCOE, Baseline Energy Mix'!AO$13,'VII. Additional Data'!$C$17:$V$66,9, FALSE)</f>
        <v>0</v>
      </c>
      <c r="AP29" s="233">
        <f xml:space="preserve"> AP18*VLOOKUP('IV. LCOE, Baseline Energy Mix'!AP$13,'VII. Additional Data'!$C$17:$V$66,9, FALSE)</f>
        <v>0</v>
      </c>
      <c r="AQ29" s="233">
        <f xml:space="preserve"> AQ18*VLOOKUP('IV. LCOE, Baseline Energy Mix'!AQ$13,'VII. Additional Data'!$C$17:$V$66,9, FALSE)</f>
        <v>0</v>
      </c>
      <c r="AR29" s="233">
        <f xml:space="preserve"> AR18*VLOOKUP('IV. LCOE, Baseline Energy Mix'!AR$13,'VII. Additional Data'!$C$17:$V$66,9, FALSE)</f>
        <v>0</v>
      </c>
      <c r="AS29" s="233">
        <f xml:space="preserve"> AS18*VLOOKUP('IV. LCOE, Baseline Energy Mix'!AS$13,'VII. Additional Data'!$C$17:$V$66,9, FALSE)</f>
        <v>0</v>
      </c>
      <c r="AT29" s="233">
        <f xml:space="preserve"> AT18*VLOOKUP('IV. LCOE, Baseline Energy Mix'!AT$13,'VII. Additional Data'!$C$17:$V$66,9, FALSE)</f>
        <v>0</v>
      </c>
      <c r="AU29" s="233">
        <f xml:space="preserve"> AU18*VLOOKUP('IV. LCOE, Baseline Energy Mix'!AU$13,'VII. Additional Data'!$C$17:$V$66,9, FALSE)</f>
        <v>0</v>
      </c>
      <c r="AV29" s="233">
        <f xml:space="preserve"> AV18*VLOOKUP('IV. LCOE, Baseline Energy Mix'!AV$13,'VII. Additional Data'!$C$17:$V$66,9, FALSE)</f>
        <v>0</v>
      </c>
      <c r="AW29" s="233">
        <f xml:space="preserve"> AW18*VLOOKUP('IV. LCOE, Baseline Energy Mix'!AW$13,'VII. Additional Data'!$C$17:$V$66,9, FALSE)</f>
        <v>0</v>
      </c>
      <c r="AX29" s="233">
        <f xml:space="preserve"> AX18*VLOOKUP('IV. LCOE, Baseline Energy Mix'!AX$13,'VII. Additional Data'!$C$17:$V$66,9, FALSE)</f>
        <v>0</v>
      </c>
      <c r="AY29" s="233">
        <f xml:space="preserve"> AY18*VLOOKUP('IV. LCOE, Baseline Energy Mix'!AY$13,'VII. Additional Data'!$C$17:$V$66,9, FALSE)</f>
        <v>0</v>
      </c>
      <c r="AZ29" s="233">
        <f xml:space="preserve"> AZ18*VLOOKUP('IV. LCOE, Baseline Energy Mix'!AZ$13,'VII. Additional Data'!$C$17:$V$66,9, FALSE)</f>
        <v>0</v>
      </c>
      <c r="BA29" s="233">
        <f xml:space="preserve"> BA18*VLOOKUP('IV. LCOE, Baseline Energy Mix'!BA$13,'VII. Additional Data'!$C$17:$V$66,9, FALSE)</f>
        <v>0</v>
      </c>
      <c r="BB29" s="233">
        <f xml:space="preserve"> BB18*VLOOKUP('IV. LCOE, Baseline Energy Mix'!BB$13,'VII. Additional Data'!$C$17:$V$66,9, FALSE)</f>
        <v>0</v>
      </c>
      <c r="BC29" s="233">
        <f xml:space="preserve"> BC18*VLOOKUP('IV. LCOE, Baseline Energy Mix'!BC$13,'VII. Additional Data'!$C$17:$V$66,9, FALSE)</f>
        <v>0</v>
      </c>
      <c r="BD29" s="233">
        <f xml:space="preserve"> BD18*VLOOKUP('IV. LCOE, Baseline Energy Mix'!BD$13,'VII. Additional Data'!$C$17:$V$66,9, FALSE)</f>
        <v>0</v>
      </c>
      <c r="BE29" s="1403">
        <f xml:space="preserve"> BE18*VLOOKUP('IV. LCOE, Baseline Energy Mix'!BE$13,'VII. Additional Data'!$C$17:$V$66,9, FALSE)</f>
        <v>0</v>
      </c>
    </row>
    <row r="30" spans="2:57" outlineLevel="1" x14ac:dyDescent="0.25">
      <c r="B30" s="222"/>
      <c r="C30" s="220" t="s">
        <v>162</v>
      </c>
      <c r="D30" s="220"/>
      <c r="E30" s="224"/>
      <c r="F30" s="224"/>
      <c r="G30" s="220"/>
      <c r="H30" s="233">
        <f xml:space="preserve"> H18*VLOOKUP('IV. LCOE, Baseline Energy Mix'!H$13,'VII. Additional Data'!$C$17:$V$66,15, FALSE)</f>
        <v>12.84051251593011</v>
      </c>
      <c r="I30" s="233">
        <f xml:space="preserve"> I18*VLOOKUP('IV. LCOE, Baseline Energy Mix'!I$13,'VII. Additional Data'!$C$17:$V$66,15, FALSE)</f>
        <v>14.145768773895165</v>
      </c>
      <c r="J30" s="233">
        <f xml:space="preserve"> J18*VLOOKUP('IV. LCOE, Baseline Energy Mix'!J$13,'VII. Additional Data'!$C$17:$V$66,15, FALSE)</f>
        <v>15.451025031860219</v>
      </c>
      <c r="K30" s="233">
        <f xml:space="preserve"> K18*VLOOKUP('IV. LCOE, Baseline Energy Mix'!K$13,'VII. Additional Data'!$C$17:$V$66,15, FALSE)</f>
        <v>16.756281289825274</v>
      </c>
      <c r="L30" s="233">
        <f xml:space="preserve"> L18*VLOOKUP('IV. LCOE, Baseline Energy Mix'!L$13,'VII. Additional Data'!$C$17:$V$66,15, FALSE)</f>
        <v>18.06153754779033</v>
      </c>
      <c r="M30" s="233">
        <f xml:space="preserve"> M18*VLOOKUP('IV. LCOE, Baseline Energy Mix'!M$13,'VII. Additional Data'!$C$17:$V$66,15, FALSE)</f>
        <v>19.366793805755385</v>
      </c>
      <c r="N30" s="233">
        <f xml:space="preserve"> N18*VLOOKUP('IV. LCOE, Baseline Energy Mix'!N$13,'VII. Additional Data'!$C$17:$V$66,15, FALSE)</f>
        <v>20.672050063720441</v>
      </c>
      <c r="O30" s="233">
        <f xml:space="preserve"> O18*VLOOKUP('IV. LCOE, Baseline Energy Mix'!O$13,'VII. Additional Data'!$C$17:$V$66,15, FALSE)</f>
        <v>21.977306321685496</v>
      </c>
      <c r="P30" s="233">
        <f xml:space="preserve"> P18*VLOOKUP('IV. LCOE, Baseline Energy Mix'!P$13,'VII. Additional Data'!$C$17:$V$66,15, FALSE)</f>
        <v>23.282562579650548</v>
      </c>
      <c r="Q30" s="233">
        <f xml:space="preserve"> Q18*VLOOKUP('IV. LCOE, Baseline Energy Mix'!Q$13,'VII. Additional Data'!$C$17:$V$66,15, FALSE)</f>
        <v>24.587818837615604</v>
      </c>
      <c r="R30" s="233">
        <f xml:space="preserve"> R18*VLOOKUP('IV. LCOE, Baseline Energy Mix'!R$13,'VII. Additional Data'!$C$17:$V$66,15, FALSE)</f>
        <v>25.893075095580659</v>
      </c>
      <c r="S30" s="233">
        <f xml:space="preserve"> S18*VLOOKUP('IV. LCOE, Baseline Energy Mix'!S$13,'VII. Additional Data'!$C$17:$V$66,15, FALSE)</f>
        <v>27.198331353545715</v>
      </c>
      <c r="T30" s="233">
        <f xml:space="preserve"> T18*VLOOKUP('IV. LCOE, Baseline Energy Mix'!T$13,'VII. Additional Data'!$C$17:$V$66,15, FALSE)</f>
        <v>28.503587611510767</v>
      </c>
      <c r="U30" s="233">
        <f xml:space="preserve"> U18*VLOOKUP('IV. LCOE, Baseline Energy Mix'!U$13,'VII. Additional Data'!$C$17:$V$66,15, FALSE)</f>
        <v>29.808843869475822</v>
      </c>
      <c r="V30" s="233">
        <f xml:space="preserve"> V18*VLOOKUP('IV. LCOE, Baseline Energy Mix'!V$13,'VII. Additional Data'!$C$17:$V$66,15, FALSE)</f>
        <v>31.114100127440878</v>
      </c>
      <c r="W30" s="233">
        <f xml:space="preserve"> W18*VLOOKUP('IV. LCOE, Baseline Energy Mix'!W$13,'VII. Additional Data'!$C$17:$V$66,15, FALSE)</f>
        <v>32.419356385405933</v>
      </c>
      <c r="X30" s="233">
        <f xml:space="preserve"> X18*VLOOKUP('IV. LCOE, Baseline Energy Mix'!X$13,'VII. Additional Data'!$C$17:$V$66,15, FALSE)</f>
        <v>33.724612643370989</v>
      </c>
      <c r="Y30" s="233">
        <f xml:space="preserve"> Y18*VLOOKUP('IV. LCOE, Baseline Energy Mix'!Y$13,'VII. Additional Data'!$C$17:$V$66,15, FALSE)</f>
        <v>35.029868901336044</v>
      </c>
      <c r="Z30" s="233">
        <f xml:space="preserve"> Z18*VLOOKUP('IV. LCOE, Baseline Energy Mix'!Z$13,'VII. Additional Data'!$C$17:$V$66,15, FALSE)</f>
        <v>36.3351251593011</v>
      </c>
      <c r="AA30" s="233">
        <f xml:space="preserve"> AA18*VLOOKUP('IV. LCOE, Baseline Energy Mix'!AA$13,'VII. Additional Data'!$C$17:$V$66,15, FALSE)</f>
        <v>37.577556476360257</v>
      </c>
      <c r="AB30" s="233">
        <f xml:space="preserve"> AB18*VLOOKUP('IV. LCOE, Baseline Energy Mix'!AB$13,'VII. Additional Data'!$C$17:$V$66,15, FALSE)</f>
        <v>38.819987793419422</v>
      </c>
      <c r="AC30" s="233">
        <f xml:space="preserve"> AC18*VLOOKUP('IV. LCOE, Baseline Energy Mix'!AC$13,'VII. Additional Data'!$C$17:$V$66,15, FALSE)</f>
        <v>40.062419110478587</v>
      </c>
      <c r="AD30" s="233">
        <f xml:space="preserve"> AD18*VLOOKUP('IV. LCOE, Baseline Energy Mix'!AD$13,'VII. Additional Data'!$C$17:$V$66,15, FALSE)</f>
        <v>41.304850427537744</v>
      </c>
      <c r="AE30" s="233">
        <f xml:space="preserve"> AE18*VLOOKUP('IV. LCOE, Baseline Energy Mix'!AE$13,'VII. Additional Data'!$C$17:$V$66,15, FALSE)</f>
        <v>42.547281744596908</v>
      </c>
      <c r="AF30" s="233">
        <f xml:space="preserve"> AF18*VLOOKUP('IV. LCOE, Baseline Energy Mix'!AF$13,'VII. Additional Data'!$C$17:$V$66,15, FALSE)</f>
        <v>43.789713061656073</v>
      </c>
      <c r="AG30" s="233">
        <f xml:space="preserve"> AG18*VLOOKUP('IV. LCOE, Baseline Energy Mix'!AG$13,'VII. Additional Data'!$C$17:$V$66,15, FALSE)</f>
        <v>0</v>
      </c>
      <c r="AH30" s="233">
        <f xml:space="preserve"> AH18*VLOOKUP('IV. LCOE, Baseline Energy Mix'!AH$13,'VII. Additional Data'!$C$17:$V$66,15, FALSE)</f>
        <v>0</v>
      </c>
      <c r="AI30" s="233">
        <f xml:space="preserve"> AI18*VLOOKUP('IV. LCOE, Baseline Energy Mix'!AI$13,'VII. Additional Data'!$C$17:$V$66,15, FALSE)</f>
        <v>0</v>
      </c>
      <c r="AJ30" s="233">
        <f xml:space="preserve"> AJ18*VLOOKUP('IV. LCOE, Baseline Energy Mix'!AJ$13,'VII. Additional Data'!$C$17:$V$66,15, FALSE)</f>
        <v>0</v>
      </c>
      <c r="AK30" s="233">
        <f xml:space="preserve"> AK18*VLOOKUP('IV. LCOE, Baseline Energy Mix'!AK$13,'VII. Additional Data'!$C$17:$V$66,15, FALSE)</f>
        <v>0</v>
      </c>
      <c r="AL30" s="233">
        <f xml:space="preserve"> AL18*VLOOKUP('IV. LCOE, Baseline Energy Mix'!AL$13,'VII. Additional Data'!$C$17:$V$66,15, FALSE)</f>
        <v>0</v>
      </c>
      <c r="AM30" s="233">
        <f xml:space="preserve"> AM18*VLOOKUP('IV. LCOE, Baseline Energy Mix'!AM$13,'VII. Additional Data'!$C$17:$V$66,15, FALSE)</f>
        <v>0</v>
      </c>
      <c r="AN30" s="233">
        <f xml:space="preserve"> AN18*VLOOKUP('IV. LCOE, Baseline Energy Mix'!AN$13,'VII. Additional Data'!$C$17:$V$66,15, FALSE)</f>
        <v>0</v>
      </c>
      <c r="AO30" s="233">
        <f xml:space="preserve"> AO18*VLOOKUP('IV. LCOE, Baseline Energy Mix'!AO$13,'VII. Additional Data'!$C$17:$V$66,15, FALSE)</f>
        <v>0</v>
      </c>
      <c r="AP30" s="233">
        <f xml:space="preserve"> AP18*VLOOKUP('IV. LCOE, Baseline Energy Mix'!AP$13,'VII. Additional Data'!$C$17:$V$66,15, FALSE)</f>
        <v>0</v>
      </c>
      <c r="AQ30" s="233">
        <f xml:space="preserve"> AQ18*VLOOKUP('IV. LCOE, Baseline Energy Mix'!AQ$13,'VII. Additional Data'!$C$17:$V$66,15, FALSE)</f>
        <v>0</v>
      </c>
      <c r="AR30" s="233">
        <f xml:space="preserve"> AR18*VLOOKUP('IV. LCOE, Baseline Energy Mix'!AR$13,'VII. Additional Data'!$C$17:$V$66,15, FALSE)</f>
        <v>0</v>
      </c>
      <c r="AS30" s="233">
        <f xml:space="preserve"> AS18*VLOOKUP('IV. LCOE, Baseline Energy Mix'!AS$13,'VII. Additional Data'!$C$17:$V$66,15, FALSE)</f>
        <v>0</v>
      </c>
      <c r="AT30" s="233">
        <f xml:space="preserve"> AT18*VLOOKUP('IV. LCOE, Baseline Energy Mix'!AT$13,'VII. Additional Data'!$C$17:$V$66,15, FALSE)</f>
        <v>0</v>
      </c>
      <c r="AU30" s="233">
        <f xml:space="preserve"> AU18*VLOOKUP('IV. LCOE, Baseline Energy Mix'!AU$13,'VII. Additional Data'!$C$17:$V$66,15, FALSE)</f>
        <v>0</v>
      </c>
      <c r="AV30" s="233">
        <f xml:space="preserve"> AV18*VLOOKUP('IV. LCOE, Baseline Energy Mix'!AV$13,'VII. Additional Data'!$C$17:$V$66,15, FALSE)</f>
        <v>0</v>
      </c>
      <c r="AW30" s="233">
        <f xml:space="preserve"> AW18*VLOOKUP('IV. LCOE, Baseline Energy Mix'!AW$13,'VII. Additional Data'!$C$17:$V$66,15, FALSE)</f>
        <v>0</v>
      </c>
      <c r="AX30" s="233">
        <f xml:space="preserve"> AX18*VLOOKUP('IV. LCOE, Baseline Energy Mix'!AX$13,'VII. Additional Data'!$C$17:$V$66,15, FALSE)</f>
        <v>0</v>
      </c>
      <c r="AY30" s="233">
        <f xml:space="preserve"> AY18*VLOOKUP('IV. LCOE, Baseline Energy Mix'!AY$13,'VII. Additional Data'!$C$17:$V$66,15, FALSE)</f>
        <v>0</v>
      </c>
      <c r="AZ30" s="233">
        <f xml:space="preserve"> AZ18*VLOOKUP('IV. LCOE, Baseline Energy Mix'!AZ$13,'VII. Additional Data'!$C$17:$V$66,15, FALSE)</f>
        <v>0</v>
      </c>
      <c r="BA30" s="233">
        <f xml:space="preserve"> BA18*VLOOKUP('IV. LCOE, Baseline Energy Mix'!BA$13,'VII. Additional Data'!$C$17:$V$66,15, FALSE)</f>
        <v>0</v>
      </c>
      <c r="BB30" s="233">
        <f xml:space="preserve"> BB18*VLOOKUP('IV. LCOE, Baseline Energy Mix'!BB$13,'VII. Additional Data'!$C$17:$V$66,15, FALSE)</f>
        <v>0</v>
      </c>
      <c r="BC30" s="233">
        <f xml:space="preserve"> BC18*VLOOKUP('IV. LCOE, Baseline Energy Mix'!BC$13,'VII. Additional Data'!$C$17:$V$66,15, FALSE)</f>
        <v>0</v>
      </c>
      <c r="BD30" s="233">
        <f xml:space="preserve"> BD18*VLOOKUP('IV. LCOE, Baseline Energy Mix'!BD$13,'VII. Additional Data'!$C$17:$V$66,15, FALSE)</f>
        <v>0</v>
      </c>
      <c r="BE30" s="1403">
        <f xml:space="preserve"> BE18*VLOOKUP('IV. LCOE, Baseline Energy Mix'!BE$13,'VII. Additional Data'!$C$17:$V$66,15, FALSE)</f>
        <v>0</v>
      </c>
    </row>
    <row r="31" spans="2:57" outlineLevel="1" x14ac:dyDescent="0.25">
      <c r="B31" s="222"/>
      <c r="C31" s="220"/>
      <c r="D31" s="220"/>
      <c r="E31" s="224"/>
      <c r="F31" s="224"/>
      <c r="G31" s="220"/>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5"/>
    </row>
    <row r="32" spans="2:57" x14ac:dyDescent="0.25">
      <c r="B32" s="222" t="s">
        <v>138</v>
      </c>
      <c r="C32" s="220"/>
      <c r="D32" s="220"/>
      <c r="E32" s="224"/>
      <c r="F32" s="224" t="s">
        <v>22</v>
      </c>
      <c r="G32" s="236"/>
      <c r="H32" s="231">
        <f>H26*H20*H18/'II. Inputs, Baseline Energy Mix'!$N$91</f>
        <v>0</v>
      </c>
      <c r="I32" s="231">
        <f>I26*I20*I18/'II. Inputs, Baseline Energy Mix'!$N$91</f>
        <v>0</v>
      </c>
      <c r="J32" s="231">
        <f>J26*J20*J18/'II. Inputs, Baseline Energy Mix'!$N$91</f>
        <v>0</v>
      </c>
      <c r="K32" s="231">
        <f>K26*K20*K18/'II. Inputs, Baseline Energy Mix'!$N$91</f>
        <v>0</v>
      </c>
      <c r="L32" s="231">
        <f>L26*L20*L18/'II. Inputs, Baseline Energy Mix'!$N$91</f>
        <v>0</v>
      </c>
      <c r="M32" s="231">
        <f>M26*M20*M18/'II. Inputs, Baseline Energy Mix'!$N$91</f>
        <v>0</v>
      </c>
      <c r="N32" s="231">
        <f>N26*N20*N18/'II. Inputs, Baseline Energy Mix'!$N$91</f>
        <v>0</v>
      </c>
      <c r="O32" s="231">
        <f>O26*O20*O18/'II. Inputs, Baseline Energy Mix'!$N$91</f>
        <v>0</v>
      </c>
      <c r="P32" s="231">
        <f>P26*P20*P18/'II. Inputs, Baseline Energy Mix'!$N$91</f>
        <v>0</v>
      </c>
      <c r="Q32" s="231">
        <f>Q26*Q20*Q18/'II. Inputs, Baseline Energy Mix'!$N$91</f>
        <v>0</v>
      </c>
      <c r="R32" s="231">
        <f>R26*R20*R18/'II. Inputs, Baseline Energy Mix'!$N$91</f>
        <v>0</v>
      </c>
      <c r="S32" s="231">
        <f>S26*S20*S18/'II. Inputs, Baseline Energy Mix'!$N$91</f>
        <v>0</v>
      </c>
      <c r="T32" s="231">
        <f>T26*T20*T18/'II. Inputs, Baseline Energy Mix'!$N$91</f>
        <v>0</v>
      </c>
      <c r="U32" s="231">
        <f>U26*U20*U18/'II. Inputs, Baseline Energy Mix'!$N$91</f>
        <v>0</v>
      </c>
      <c r="V32" s="231">
        <f>V26*V20*V18/'II. Inputs, Baseline Energy Mix'!$N$91</f>
        <v>0</v>
      </c>
      <c r="W32" s="231">
        <f>W26*W20*W18/'II. Inputs, Baseline Energy Mix'!$N$91</f>
        <v>0</v>
      </c>
      <c r="X32" s="231">
        <f>X26*X20*X18/'II. Inputs, Baseline Energy Mix'!$N$91</f>
        <v>0</v>
      </c>
      <c r="Y32" s="231">
        <f>Y26*Y20*Y18/'II. Inputs, Baseline Energy Mix'!$N$91</f>
        <v>0</v>
      </c>
      <c r="Z32" s="231">
        <f>Z26*Z20*Z18/'II. Inputs, Baseline Energy Mix'!$N$91</f>
        <v>0</v>
      </c>
      <c r="AA32" s="231">
        <f>AA26*AA20*AA18/'II. Inputs, Baseline Energy Mix'!$N$91</f>
        <v>0</v>
      </c>
      <c r="AB32" s="231">
        <f>AB26*AB20*AB18/'II. Inputs, Baseline Energy Mix'!$N$91</f>
        <v>0</v>
      </c>
      <c r="AC32" s="231">
        <f>AC26*AC20*AC18/'II. Inputs, Baseline Energy Mix'!$N$91</f>
        <v>0</v>
      </c>
      <c r="AD32" s="231">
        <f>AD26*AD20*AD18/'II. Inputs, Baseline Energy Mix'!$N$91</f>
        <v>0</v>
      </c>
      <c r="AE32" s="231">
        <f>AE26*AE20*AE18/'II. Inputs, Baseline Energy Mix'!$N$91</f>
        <v>0</v>
      </c>
      <c r="AF32" s="231">
        <f>AF26*AF20*AF18/'II. Inputs, Baseline Energy Mix'!$N$91</f>
        <v>0</v>
      </c>
      <c r="AG32" s="231">
        <f>AG26*AG20*AG18/'II. Inputs, Baseline Energy Mix'!$N$91</f>
        <v>0</v>
      </c>
      <c r="AH32" s="231">
        <f>AH26*AH20*AH18/'II. Inputs, Baseline Energy Mix'!$N$91</f>
        <v>0</v>
      </c>
      <c r="AI32" s="231">
        <f>AI26*AI20*AI18/'II. Inputs, Baseline Energy Mix'!$N$91</f>
        <v>0</v>
      </c>
      <c r="AJ32" s="231">
        <f>AJ26*AJ20*AJ18/'II. Inputs, Baseline Energy Mix'!$N$91</f>
        <v>0</v>
      </c>
      <c r="AK32" s="231">
        <f>AK26*AK20*AK18/'II. Inputs, Baseline Energy Mix'!$N$91</f>
        <v>0</v>
      </c>
      <c r="AL32" s="231">
        <f>AL26*AL20*AL18/'II. Inputs, Baseline Energy Mix'!$N$91</f>
        <v>0</v>
      </c>
      <c r="AM32" s="231">
        <f>AM26*AM20*AM18/'II. Inputs, Baseline Energy Mix'!$N$91</f>
        <v>0</v>
      </c>
      <c r="AN32" s="231">
        <f>AN26*AN20*AN18/'II. Inputs, Baseline Energy Mix'!$N$91</f>
        <v>0</v>
      </c>
      <c r="AO32" s="231">
        <f>AO26*AO20*AO18/'II. Inputs, Baseline Energy Mix'!$N$91</f>
        <v>0</v>
      </c>
      <c r="AP32" s="231">
        <f>AP26*AP20*AP18/'II. Inputs, Baseline Energy Mix'!$N$91</f>
        <v>0</v>
      </c>
      <c r="AQ32" s="231">
        <f>AQ26*AQ20*AQ18/'II. Inputs, Baseline Energy Mix'!$N$91</f>
        <v>0</v>
      </c>
      <c r="AR32" s="231">
        <f>AR26*AR20*AR18/'II. Inputs, Baseline Energy Mix'!$N$91</f>
        <v>0</v>
      </c>
      <c r="AS32" s="231">
        <f>AS26*AS20*AS18/'II. Inputs, Baseline Energy Mix'!$N$91</f>
        <v>0</v>
      </c>
      <c r="AT32" s="231">
        <f>AT26*AT20*AT18/'II. Inputs, Baseline Energy Mix'!$N$91</f>
        <v>0</v>
      </c>
      <c r="AU32" s="231">
        <f>AU26*AU20*AU18/'II. Inputs, Baseline Energy Mix'!$N$91</f>
        <v>0</v>
      </c>
      <c r="AV32" s="231">
        <f>AV26*AV20*AV18/'II. Inputs, Baseline Energy Mix'!$N$91</f>
        <v>0</v>
      </c>
      <c r="AW32" s="231">
        <f>AW26*AW20*AW18/'II. Inputs, Baseline Energy Mix'!$N$91</f>
        <v>0</v>
      </c>
      <c r="AX32" s="231">
        <f>AX26*AX20*AX18/'II. Inputs, Baseline Energy Mix'!$N$91</f>
        <v>0</v>
      </c>
      <c r="AY32" s="231">
        <f>AY26*AY20*AY18/'II. Inputs, Baseline Energy Mix'!$N$91</f>
        <v>0</v>
      </c>
      <c r="AZ32" s="231">
        <f>AZ26*AZ20*AZ18/'II. Inputs, Baseline Energy Mix'!$N$91</f>
        <v>0</v>
      </c>
      <c r="BA32" s="231">
        <f>BA26*BA20*BA18/'II. Inputs, Baseline Energy Mix'!$N$91</f>
        <v>0</v>
      </c>
      <c r="BB32" s="231">
        <f>BB26*BB20*BB18/'II. Inputs, Baseline Energy Mix'!$N$91</f>
        <v>0</v>
      </c>
      <c r="BC32" s="231">
        <f>BC26*BC20*BC18/'II. Inputs, Baseline Energy Mix'!$N$91</f>
        <v>0</v>
      </c>
      <c r="BD32" s="231">
        <f>BD26*BD20*BD18/'II. Inputs, Baseline Energy Mix'!$N$91</f>
        <v>0</v>
      </c>
      <c r="BE32" s="232">
        <f>BE26*BE20*BE18/'II. Inputs, Baseline Energy Mix'!$N$91</f>
        <v>0</v>
      </c>
    </row>
    <row r="33" spans="2:57" x14ac:dyDescent="0.25">
      <c r="B33" s="222"/>
      <c r="C33" s="220"/>
      <c r="D33" s="220"/>
      <c r="E33" s="224"/>
      <c r="F33" s="224"/>
      <c r="G33" s="236"/>
      <c r="H33" s="231"/>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1288"/>
    </row>
    <row r="34" spans="2:57" x14ac:dyDescent="0.25">
      <c r="B34" s="222" t="s">
        <v>101</v>
      </c>
      <c r="C34" s="220"/>
      <c r="D34" s="220"/>
      <c r="E34" s="224"/>
      <c r="F34" s="224" t="s">
        <v>22</v>
      </c>
      <c r="G34" s="236"/>
      <c r="H34" s="236">
        <f>H776</f>
        <v>0</v>
      </c>
      <c r="I34" s="236">
        <f t="shared" ref="I34:O34" si="0">I776</f>
        <v>0</v>
      </c>
      <c r="J34" s="236">
        <f t="shared" si="0"/>
        <v>0</v>
      </c>
      <c r="K34" s="236">
        <f t="shared" si="0"/>
        <v>0</v>
      </c>
      <c r="L34" s="236">
        <f t="shared" si="0"/>
        <v>0</v>
      </c>
      <c r="M34" s="236">
        <f t="shared" si="0"/>
        <v>0</v>
      </c>
      <c r="N34" s="236">
        <f t="shared" si="0"/>
        <v>0</v>
      </c>
      <c r="O34" s="236">
        <f t="shared" si="0"/>
        <v>0</v>
      </c>
      <c r="P34" s="236">
        <f t="shared" ref="P34:BE34" si="1">P776</f>
        <v>0</v>
      </c>
      <c r="Q34" s="236">
        <f t="shared" si="1"/>
        <v>0</v>
      </c>
      <c r="R34" s="236">
        <f t="shared" si="1"/>
        <v>0</v>
      </c>
      <c r="S34" s="236">
        <f t="shared" si="1"/>
        <v>0</v>
      </c>
      <c r="T34" s="236">
        <f t="shared" si="1"/>
        <v>0</v>
      </c>
      <c r="U34" s="236">
        <f t="shared" si="1"/>
        <v>0</v>
      </c>
      <c r="V34" s="236">
        <f t="shared" si="1"/>
        <v>0</v>
      </c>
      <c r="W34" s="236">
        <f t="shared" si="1"/>
        <v>0</v>
      </c>
      <c r="X34" s="236">
        <f t="shared" si="1"/>
        <v>0</v>
      </c>
      <c r="Y34" s="236">
        <f t="shared" si="1"/>
        <v>0</v>
      </c>
      <c r="Z34" s="236">
        <f t="shared" si="1"/>
        <v>0</v>
      </c>
      <c r="AA34" s="236">
        <f t="shared" si="1"/>
        <v>0</v>
      </c>
      <c r="AB34" s="236">
        <f t="shared" si="1"/>
        <v>0</v>
      </c>
      <c r="AC34" s="236">
        <f t="shared" si="1"/>
        <v>0</v>
      </c>
      <c r="AD34" s="236">
        <f t="shared" si="1"/>
        <v>0</v>
      </c>
      <c r="AE34" s="236">
        <f t="shared" si="1"/>
        <v>0</v>
      </c>
      <c r="AF34" s="236">
        <f t="shared" si="1"/>
        <v>0</v>
      </c>
      <c r="AG34" s="236">
        <f t="shared" si="1"/>
        <v>0</v>
      </c>
      <c r="AH34" s="236">
        <f t="shared" si="1"/>
        <v>0</v>
      </c>
      <c r="AI34" s="236">
        <f t="shared" si="1"/>
        <v>0</v>
      </c>
      <c r="AJ34" s="236">
        <f t="shared" si="1"/>
        <v>0</v>
      </c>
      <c r="AK34" s="236">
        <f t="shared" si="1"/>
        <v>0</v>
      </c>
      <c r="AL34" s="236">
        <f t="shared" si="1"/>
        <v>0</v>
      </c>
      <c r="AM34" s="236">
        <f t="shared" si="1"/>
        <v>0</v>
      </c>
      <c r="AN34" s="236">
        <f t="shared" si="1"/>
        <v>0</v>
      </c>
      <c r="AO34" s="236">
        <f t="shared" si="1"/>
        <v>0</v>
      </c>
      <c r="AP34" s="236">
        <f t="shared" si="1"/>
        <v>0</v>
      </c>
      <c r="AQ34" s="236">
        <f t="shared" si="1"/>
        <v>0</v>
      </c>
      <c r="AR34" s="236">
        <f t="shared" si="1"/>
        <v>0</v>
      </c>
      <c r="AS34" s="236">
        <f t="shared" si="1"/>
        <v>0</v>
      </c>
      <c r="AT34" s="236">
        <f t="shared" si="1"/>
        <v>0</v>
      </c>
      <c r="AU34" s="236">
        <f t="shared" si="1"/>
        <v>0</v>
      </c>
      <c r="AV34" s="236">
        <f t="shared" si="1"/>
        <v>0</v>
      </c>
      <c r="AW34" s="236">
        <f t="shared" si="1"/>
        <v>0</v>
      </c>
      <c r="AX34" s="236">
        <f t="shared" si="1"/>
        <v>0</v>
      </c>
      <c r="AY34" s="236">
        <f t="shared" si="1"/>
        <v>0</v>
      </c>
      <c r="AZ34" s="236">
        <f t="shared" si="1"/>
        <v>0</v>
      </c>
      <c r="BA34" s="236">
        <f t="shared" si="1"/>
        <v>0</v>
      </c>
      <c r="BB34" s="236">
        <f t="shared" si="1"/>
        <v>0</v>
      </c>
      <c r="BC34" s="236">
        <f t="shared" si="1"/>
        <v>0</v>
      </c>
      <c r="BD34" s="236">
        <f t="shared" si="1"/>
        <v>0</v>
      </c>
      <c r="BE34" s="1288">
        <f t="shared" si="1"/>
        <v>0</v>
      </c>
    </row>
    <row r="35" spans="2:57" x14ac:dyDescent="0.25">
      <c r="B35" s="222"/>
      <c r="C35" s="220"/>
      <c r="D35" s="220"/>
      <c r="E35" s="224"/>
      <c r="F35" s="224"/>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1288"/>
    </row>
    <row r="36" spans="2:57" x14ac:dyDescent="0.25">
      <c r="B36" s="222" t="s">
        <v>256</v>
      </c>
      <c r="C36" s="220"/>
      <c r="D36" s="220"/>
      <c r="E36" s="224"/>
      <c r="F36" s="224" t="s">
        <v>22</v>
      </c>
      <c r="G36" s="236"/>
      <c r="H36" s="236">
        <f t="shared" ref="H36:P36" si="2">H309</f>
        <v>0</v>
      </c>
      <c r="I36" s="236">
        <f t="shared" si="2"/>
        <v>0</v>
      </c>
      <c r="J36" s="236">
        <f t="shared" si="2"/>
        <v>0</v>
      </c>
      <c r="K36" s="236">
        <f t="shared" si="2"/>
        <v>0</v>
      </c>
      <c r="L36" s="236">
        <f t="shared" si="2"/>
        <v>0</v>
      </c>
      <c r="M36" s="236">
        <f t="shared" si="2"/>
        <v>0</v>
      </c>
      <c r="N36" s="236">
        <f t="shared" si="2"/>
        <v>0</v>
      </c>
      <c r="O36" s="236">
        <f t="shared" si="2"/>
        <v>0</v>
      </c>
      <c r="P36" s="236">
        <f t="shared" si="2"/>
        <v>0</v>
      </c>
      <c r="Q36" s="236">
        <f t="shared" ref="Q36:BE36" si="3">Q309</f>
        <v>0</v>
      </c>
      <c r="R36" s="236">
        <f t="shared" si="3"/>
        <v>0</v>
      </c>
      <c r="S36" s="236">
        <f t="shared" si="3"/>
        <v>0</v>
      </c>
      <c r="T36" s="236">
        <f t="shared" si="3"/>
        <v>0</v>
      </c>
      <c r="U36" s="236">
        <f t="shared" si="3"/>
        <v>0</v>
      </c>
      <c r="V36" s="236">
        <f t="shared" si="3"/>
        <v>0</v>
      </c>
      <c r="W36" s="236">
        <f t="shared" si="3"/>
        <v>0</v>
      </c>
      <c r="X36" s="236">
        <f t="shared" si="3"/>
        <v>0</v>
      </c>
      <c r="Y36" s="236">
        <f t="shared" si="3"/>
        <v>0</v>
      </c>
      <c r="Z36" s="236">
        <f t="shared" si="3"/>
        <v>0</v>
      </c>
      <c r="AA36" s="236">
        <f t="shared" si="3"/>
        <v>0</v>
      </c>
      <c r="AB36" s="236">
        <f t="shared" si="3"/>
        <v>0</v>
      </c>
      <c r="AC36" s="236">
        <f t="shared" si="3"/>
        <v>0</v>
      </c>
      <c r="AD36" s="236">
        <f t="shared" si="3"/>
        <v>0</v>
      </c>
      <c r="AE36" s="236">
        <f t="shared" si="3"/>
        <v>0</v>
      </c>
      <c r="AF36" s="236">
        <f t="shared" si="3"/>
        <v>0</v>
      </c>
      <c r="AG36" s="236">
        <f t="shared" si="3"/>
        <v>0</v>
      </c>
      <c r="AH36" s="236">
        <f t="shared" si="3"/>
        <v>0</v>
      </c>
      <c r="AI36" s="236">
        <f t="shared" si="3"/>
        <v>0</v>
      </c>
      <c r="AJ36" s="236">
        <f t="shared" si="3"/>
        <v>0</v>
      </c>
      <c r="AK36" s="236">
        <f t="shared" si="3"/>
        <v>0</v>
      </c>
      <c r="AL36" s="236">
        <f t="shared" si="3"/>
        <v>0</v>
      </c>
      <c r="AM36" s="236">
        <f t="shared" si="3"/>
        <v>0</v>
      </c>
      <c r="AN36" s="236">
        <f t="shared" si="3"/>
        <v>0</v>
      </c>
      <c r="AO36" s="236">
        <f t="shared" si="3"/>
        <v>0</v>
      </c>
      <c r="AP36" s="236">
        <f t="shared" si="3"/>
        <v>0</v>
      </c>
      <c r="AQ36" s="236">
        <f t="shared" si="3"/>
        <v>0</v>
      </c>
      <c r="AR36" s="236">
        <f t="shared" si="3"/>
        <v>0</v>
      </c>
      <c r="AS36" s="236">
        <f t="shared" si="3"/>
        <v>0</v>
      </c>
      <c r="AT36" s="236">
        <f t="shared" si="3"/>
        <v>0</v>
      </c>
      <c r="AU36" s="236">
        <f t="shared" si="3"/>
        <v>0</v>
      </c>
      <c r="AV36" s="236">
        <f t="shared" si="3"/>
        <v>0</v>
      </c>
      <c r="AW36" s="236">
        <f t="shared" si="3"/>
        <v>0</v>
      </c>
      <c r="AX36" s="236">
        <f t="shared" si="3"/>
        <v>0</v>
      </c>
      <c r="AY36" s="236">
        <f t="shared" si="3"/>
        <v>0</v>
      </c>
      <c r="AZ36" s="236">
        <f t="shared" si="3"/>
        <v>0</v>
      </c>
      <c r="BA36" s="236">
        <f t="shared" si="3"/>
        <v>0</v>
      </c>
      <c r="BB36" s="236">
        <f t="shared" si="3"/>
        <v>0</v>
      </c>
      <c r="BC36" s="236">
        <f t="shared" si="3"/>
        <v>0</v>
      </c>
      <c r="BD36" s="236">
        <f t="shared" si="3"/>
        <v>0</v>
      </c>
      <c r="BE36" s="1288">
        <f t="shared" si="3"/>
        <v>0</v>
      </c>
    </row>
    <row r="37" spans="2:57" x14ac:dyDescent="0.25">
      <c r="B37" s="222" t="s">
        <v>188</v>
      </c>
      <c r="C37" s="220"/>
      <c r="D37" s="220"/>
      <c r="E37" s="224"/>
      <c r="F37" s="224" t="s">
        <v>22</v>
      </c>
      <c r="G37" s="236"/>
      <c r="H37" s="236">
        <f t="shared" ref="H37:P37" si="4">+H330</f>
        <v>0</v>
      </c>
      <c r="I37" s="236">
        <f t="shared" si="4"/>
        <v>0</v>
      </c>
      <c r="J37" s="236">
        <f t="shared" si="4"/>
        <v>0</v>
      </c>
      <c r="K37" s="236">
        <f t="shared" si="4"/>
        <v>0</v>
      </c>
      <c r="L37" s="236">
        <f t="shared" si="4"/>
        <v>0</v>
      </c>
      <c r="M37" s="236">
        <f t="shared" si="4"/>
        <v>0</v>
      </c>
      <c r="N37" s="236">
        <f t="shared" si="4"/>
        <v>0</v>
      </c>
      <c r="O37" s="236">
        <f t="shared" si="4"/>
        <v>0</v>
      </c>
      <c r="P37" s="236">
        <f t="shared" si="4"/>
        <v>0</v>
      </c>
      <c r="Q37" s="236">
        <f t="shared" ref="Q37:BE37" si="5">+Q330</f>
        <v>0</v>
      </c>
      <c r="R37" s="236">
        <f t="shared" si="5"/>
        <v>0</v>
      </c>
      <c r="S37" s="236">
        <f t="shared" si="5"/>
        <v>0</v>
      </c>
      <c r="T37" s="236">
        <f t="shared" si="5"/>
        <v>0</v>
      </c>
      <c r="U37" s="236">
        <f t="shared" si="5"/>
        <v>0</v>
      </c>
      <c r="V37" s="236">
        <f t="shared" si="5"/>
        <v>0</v>
      </c>
      <c r="W37" s="236">
        <f t="shared" si="5"/>
        <v>0</v>
      </c>
      <c r="X37" s="236">
        <f t="shared" si="5"/>
        <v>0</v>
      </c>
      <c r="Y37" s="236">
        <f t="shared" si="5"/>
        <v>0</v>
      </c>
      <c r="Z37" s="236">
        <f t="shared" si="5"/>
        <v>0</v>
      </c>
      <c r="AA37" s="236">
        <f t="shared" si="5"/>
        <v>0</v>
      </c>
      <c r="AB37" s="236">
        <f t="shared" si="5"/>
        <v>0</v>
      </c>
      <c r="AC37" s="236">
        <f t="shared" si="5"/>
        <v>0</v>
      </c>
      <c r="AD37" s="236">
        <f t="shared" si="5"/>
        <v>0</v>
      </c>
      <c r="AE37" s="236">
        <f t="shared" si="5"/>
        <v>0</v>
      </c>
      <c r="AF37" s="236">
        <f t="shared" si="5"/>
        <v>0</v>
      </c>
      <c r="AG37" s="236">
        <f t="shared" si="5"/>
        <v>0</v>
      </c>
      <c r="AH37" s="236">
        <f t="shared" si="5"/>
        <v>0</v>
      </c>
      <c r="AI37" s="236">
        <f t="shared" si="5"/>
        <v>0</v>
      </c>
      <c r="AJ37" s="236">
        <f t="shared" si="5"/>
        <v>0</v>
      </c>
      <c r="AK37" s="236">
        <f t="shared" si="5"/>
        <v>0</v>
      </c>
      <c r="AL37" s="236">
        <f t="shared" si="5"/>
        <v>0</v>
      </c>
      <c r="AM37" s="236">
        <f t="shared" si="5"/>
        <v>0</v>
      </c>
      <c r="AN37" s="236">
        <f t="shared" si="5"/>
        <v>0</v>
      </c>
      <c r="AO37" s="236">
        <f t="shared" si="5"/>
        <v>0</v>
      </c>
      <c r="AP37" s="236">
        <f t="shared" si="5"/>
        <v>0</v>
      </c>
      <c r="AQ37" s="236">
        <f t="shared" si="5"/>
        <v>0</v>
      </c>
      <c r="AR37" s="236">
        <f t="shared" si="5"/>
        <v>0</v>
      </c>
      <c r="AS37" s="236">
        <f t="shared" si="5"/>
        <v>0</v>
      </c>
      <c r="AT37" s="236">
        <f t="shared" si="5"/>
        <v>0</v>
      </c>
      <c r="AU37" s="236">
        <f t="shared" si="5"/>
        <v>0</v>
      </c>
      <c r="AV37" s="236">
        <f t="shared" si="5"/>
        <v>0</v>
      </c>
      <c r="AW37" s="236">
        <f t="shared" si="5"/>
        <v>0</v>
      </c>
      <c r="AX37" s="236">
        <f t="shared" si="5"/>
        <v>0</v>
      </c>
      <c r="AY37" s="236">
        <f t="shared" si="5"/>
        <v>0</v>
      </c>
      <c r="AZ37" s="236">
        <f t="shared" si="5"/>
        <v>0</v>
      </c>
      <c r="BA37" s="236">
        <f t="shared" si="5"/>
        <v>0</v>
      </c>
      <c r="BB37" s="236">
        <f t="shared" si="5"/>
        <v>0</v>
      </c>
      <c r="BC37" s="236">
        <f t="shared" si="5"/>
        <v>0</v>
      </c>
      <c r="BD37" s="236">
        <f t="shared" si="5"/>
        <v>0</v>
      </c>
      <c r="BE37" s="1288">
        <f t="shared" si="5"/>
        <v>0</v>
      </c>
    </row>
    <row r="38" spans="2:57" x14ac:dyDescent="0.25">
      <c r="B38" s="222" t="s">
        <v>189</v>
      </c>
      <c r="C38" s="220"/>
      <c r="D38" s="220"/>
      <c r="E38" s="224"/>
      <c r="F38" s="224" t="s">
        <v>22</v>
      </c>
      <c r="G38" s="236"/>
      <c r="H38" s="236">
        <f t="shared" ref="H38:P38" si="6">+H351</f>
        <v>0</v>
      </c>
      <c r="I38" s="236">
        <f t="shared" si="6"/>
        <v>0</v>
      </c>
      <c r="J38" s="236">
        <f t="shared" si="6"/>
        <v>0</v>
      </c>
      <c r="K38" s="236">
        <f t="shared" si="6"/>
        <v>0</v>
      </c>
      <c r="L38" s="236">
        <f t="shared" si="6"/>
        <v>0</v>
      </c>
      <c r="M38" s="236">
        <f t="shared" si="6"/>
        <v>0</v>
      </c>
      <c r="N38" s="236">
        <f t="shared" si="6"/>
        <v>0</v>
      </c>
      <c r="O38" s="236">
        <f t="shared" si="6"/>
        <v>0</v>
      </c>
      <c r="P38" s="236">
        <f t="shared" si="6"/>
        <v>0</v>
      </c>
      <c r="Q38" s="236">
        <f t="shared" ref="Q38:BE38" si="7">+Q351</f>
        <v>0</v>
      </c>
      <c r="R38" s="236">
        <f t="shared" si="7"/>
        <v>0</v>
      </c>
      <c r="S38" s="236">
        <f t="shared" si="7"/>
        <v>0</v>
      </c>
      <c r="T38" s="236">
        <f t="shared" si="7"/>
        <v>0</v>
      </c>
      <c r="U38" s="236">
        <f t="shared" si="7"/>
        <v>0</v>
      </c>
      <c r="V38" s="236">
        <f t="shared" si="7"/>
        <v>0</v>
      </c>
      <c r="W38" s="236">
        <f t="shared" si="7"/>
        <v>0</v>
      </c>
      <c r="X38" s="236">
        <f t="shared" si="7"/>
        <v>0</v>
      </c>
      <c r="Y38" s="236">
        <f t="shared" si="7"/>
        <v>0</v>
      </c>
      <c r="Z38" s="236">
        <f t="shared" si="7"/>
        <v>0</v>
      </c>
      <c r="AA38" s="236">
        <f t="shared" si="7"/>
        <v>0</v>
      </c>
      <c r="AB38" s="236">
        <f t="shared" si="7"/>
        <v>0</v>
      </c>
      <c r="AC38" s="236">
        <f t="shared" si="7"/>
        <v>0</v>
      </c>
      <c r="AD38" s="236">
        <f t="shared" si="7"/>
        <v>0</v>
      </c>
      <c r="AE38" s="236">
        <f t="shared" si="7"/>
        <v>0</v>
      </c>
      <c r="AF38" s="236">
        <f t="shared" si="7"/>
        <v>0</v>
      </c>
      <c r="AG38" s="236">
        <f t="shared" si="7"/>
        <v>0</v>
      </c>
      <c r="AH38" s="236">
        <f t="shared" si="7"/>
        <v>0</v>
      </c>
      <c r="AI38" s="236">
        <f t="shared" si="7"/>
        <v>0</v>
      </c>
      <c r="AJ38" s="236">
        <f t="shared" si="7"/>
        <v>0</v>
      </c>
      <c r="AK38" s="236">
        <f t="shared" si="7"/>
        <v>0</v>
      </c>
      <c r="AL38" s="236">
        <f t="shared" si="7"/>
        <v>0</v>
      </c>
      <c r="AM38" s="236">
        <f t="shared" si="7"/>
        <v>0</v>
      </c>
      <c r="AN38" s="236">
        <f t="shared" si="7"/>
        <v>0</v>
      </c>
      <c r="AO38" s="236">
        <f t="shared" si="7"/>
        <v>0</v>
      </c>
      <c r="AP38" s="236">
        <f t="shared" si="7"/>
        <v>0</v>
      </c>
      <c r="AQ38" s="236">
        <f t="shared" si="7"/>
        <v>0</v>
      </c>
      <c r="AR38" s="236">
        <f t="shared" si="7"/>
        <v>0</v>
      </c>
      <c r="AS38" s="236">
        <f t="shared" si="7"/>
        <v>0</v>
      </c>
      <c r="AT38" s="236">
        <f t="shared" si="7"/>
        <v>0</v>
      </c>
      <c r="AU38" s="236">
        <f t="shared" si="7"/>
        <v>0</v>
      </c>
      <c r="AV38" s="236">
        <f t="shared" si="7"/>
        <v>0</v>
      </c>
      <c r="AW38" s="236">
        <f t="shared" si="7"/>
        <v>0</v>
      </c>
      <c r="AX38" s="236">
        <f t="shared" si="7"/>
        <v>0</v>
      </c>
      <c r="AY38" s="236">
        <f t="shared" si="7"/>
        <v>0</v>
      </c>
      <c r="AZ38" s="236">
        <f t="shared" si="7"/>
        <v>0</v>
      </c>
      <c r="BA38" s="236">
        <f t="shared" si="7"/>
        <v>0</v>
      </c>
      <c r="BB38" s="236">
        <f t="shared" si="7"/>
        <v>0</v>
      </c>
      <c r="BC38" s="236">
        <f t="shared" si="7"/>
        <v>0</v>
      </c>
      <c r="BD38" s="236">
        <f t="shared" si="7"/>
        <v>0</v>
      </c>
      <c r="BE38" s="1288">
        <f t="shared" si="7"/>
        <v>0</v>
      </c>
    </row>
    <row r="39" spans="2:57" x14ac:dyDescent="0.25">
      <c r="B39" s="222" t="s">
        <v>132</v>
      </c>
      <c r="C39" s="220"/>
      <c r="D39" s="220"/>
      <c r="E39" s="224"/>
      <c r="F39" s="224" t="s">
        <v>22</v>
      </c>
      <c r="G39" s="236"/>
      <c r="H39" s="236">
        <f t="shared" ref="H39:P39" si="8">(H320+H341+H362)</f>
        <v>0</v>
      </c>
      <c r="I39" s="236">
        <f t="shared" si="8"/>
        <v>0</v>
      </c>
      <c r="J39" s="236">
        <f t="shared" si="8"/>
        <v>0</v>
      </c>
      <c r="K39" s="236">
        <f t="shared" si="8"/>
        <v>0</v>
      </c>
      <c r="L39" s="236">
        <f t="shared" si="8"/>
        <v>0</v>
      </c>
      <c r="M39" s="236">
        <f t="shared" si="8"/>
        <v>0</v>
      </c>
      <c r="N39" s="236">
        <f t="shared" si="8"/>
        <v>0</v>
      </c>
      <c r="O39" s="236">
        <f t="shared" si="8"/>
        <v>0</v>
      </c>
      <c r="P39" s="236">
        <f t="shared" si="8"/>
        <v>0</v>
      </c>
      <c r="Q39" s="236">
        <f t="shared" ref="Q39:BE39" si="9">(Q320+Q341+Q362)</f>
        <v>0</v>
      </c>
      <c r="R39" s="236">
        <f t="shared" si="9"/>
        <v>0</v>
      </c>
      <c r="S39" s="236">
        <f t="shared" si="9"/>
        <v>0</v>
      </c>
      <c r="T39" s="236">
        <f t="shared" si="9"/>
        <v>0</v>
      </c>
      <c r="U39" s="236">
        <f t="shared" si="9"/>
        <v>0</v>
      </c>
      <c r="V39" s="236">
        <f t="shared" si="9"/>
        <v>0</v>
      </c>
      <c r="W39" s="236">
        <f t="shared" si="9"/>
        <v>0</v>
      </c>
      <c r="X39" s="236">
        <f t="shared" si="9"/>
        <v>0</v>
      </c>
      <c r="Y39" s="236">
        <f t="shared" si="9"/>
        <v>0</v>
      </c>
      <c r="Z39" s="236">
        <f t="shared" si="9"/>
        <v>0</v>
      </c>
      <c r="AA39" s="236">
        <f t="shared" si="9"/>
        <v>0</v>
      </c>
      <c r="AB39" s="236">
        <f t="shared" si="9"/>
        <v>0</v>
      </c>
      <c r="AC39" s="236">
        <f t="shared" si="9"/>
        <v>0</v>
      </c>
      <c r="AD39" s="236">
        <f t="shared" si="9"/>
        <v>0</v>
      </c>
      <c r="AE39" s="236">
        <f t="shared" si="9"/>
        <v>0</v>
      </c>
      <c r="AF39" s="236">
        <f t="shared" si="9"/>
        <v>0</v>
      </c>
      <c r="AG39" s="236">
        <f t="shared" si="9"/>
        <v>0</v>
      </c>
      <c r="AH39" s="236">
        <f t="shared" si="9"/>
        <v>0</v>
      </c>
      <c r="AI39" s="236">
        <f t="shared" si="9"/>
        <v>0</v>
      </c>
      <c r="AJ39" s="236">
        <f t="shared" si="9"/>
        <v>0</v>
      </c>
      <c r="AK39" s="236">
        <f t="shared" si="9"/>
        <v>0</v>
      </c>
      <c r="AL39" s="236">
        <f t="shared" si="9"/>
        <v>0</v>
      </c>
      <c r="AM39" s="236">
        <f t="shared" si="9"/>
        <v>0</v>
      </c>
      <c r="AN39" s="236">
        <f t="shared" si="9"/>
        <v>0</v>
      </c>
      <c r="AO39" s="236">
        <f t="shared" si="9"/>
        <v>0</v>
      </c>
      <c r="AP39" s="236">
        <f t="shared" si="9"/>
        <v>0</v>
      </c>
      <c r="AQ39" s="236">
        <f t="shared" si="9"/>
        <v>0</v>
      </c>
      <c r="AR39" s="236">
        <f t="shared" si="9"/>
        <v>0</v>
      </c>
      <c r="AS39" s="236">
        <f t="shared" si="9"/>
        <v>0</v>
      </c>
      <c r="AT39" s="236">
        <f t="shared" si="9"/>
        <v>0</v>
      </c>
      <c r="AU39" s="236">
        <f t="shared" si="9"/>
        <v>0</v>
      </c>
      <c r="AV39" s="236">
        <f t="shared" si="9"/>
        <v>0</v>
      </c>
      <c r="AW39" s="236">
        <f t="shared" si="9"/>
        <v>0</v>
      </c>
      <c r="AX39" s="236">
        <f t="shared" si="9"/>
        <v>0</v>
      </c>
      <c r="AY39" s="236">
        <f t="shared" si="9"/>
        <v>0</v>
      </c>
      <c r="AZ39" s="236">
        <f t="shared" si="9"/>
        <v>0</v>
      </c>
      <c r="BA39" s="236">
        <f t="shared" si="9"/>
        <v>0</v>
      </c>
      <c r="BB39" s="236">
        <f t="shared" si="9"/>
        <v>0</v>
      </c>
      <c r="BC39" s="236">
        <f t="shared" si="9"/>
        <v>0</v>
      </c>
      <c r="BD39" s="236">
        <f t="shared" si="9"/>
        <v>0</v>
      </c>
      <c r="BE39" s="1288">
        <f t="shared" si="9"/>
        <v>0</v>
      </c>
    </row>
    <row r="40" spans="2:57" x14ac:dyDescent="0.25">
      <c r="B40" s="222" t="s">
        <v>190</v>
      </c>
      <c r="C40" s="220"/>
      <c r="D40" s="220"/>
      <c r="E40" s="224"/>
      <c r="F40" s="224" t="s">
        <v>22</v>
      </c>
      <c r="G40" s="236"/>
      <c r="H40" s="236">
        <f t="shared" ref="H40:P40" si="10">(H342+H343)</f>
        <v>0</v>
      </c>
      <c r="I40" s="236">
        <f t="shared" si="10"/>
        <v>0</v>
      </c>
      <c r="J40" s="236">
        <f t="shared" si="10"/>
        <v>0</v>
      </c>
      <c r="K40" s="236">
        <f t="shared" si="10"/>
        <v>0</v>
      </c>
      <c r="L40" s="236">
        <f t="shared" si="10"/>
        <v>0</v>
      </c>
      <c r="M40" s="236">
        <f t="shared" si="10"/>
        <v>0</v>
      </c>
      <c r="N40" s="236">
        <f t="shared" si="10"/>
        <v>0</v>
      </c>
      <c r="O40" s="236">
        <f t="shared" si="10"/>
        <v>0</v>
      </c>
      <c r="P40" s="236">
        <f t="shared" si="10"/>
        <v>0</v>
      </c>
      <c r="Q40" s="236">
        <f t="shared" ref="Q40:BE40" si="11">(Q342+Q343)</f>
        <v>0</v>
      </c>
      <c r="R40" s="236">
        <f t="shared" si="11"/>
        <v>0</v>
      </c>
      <c r="S40" s="236">
        <f t="shared" si="11"/>
        <v>0</v>
      </c>
      <c r="T40" s="236">
        <f t="shared" si="11"/>
        <v>0</v>
      </c>
      <c r="U40" s="236">
        <f t="shared" si="11"/>
        <v>0</v>
      </c>
      <c r="V40" s="236">
        <f t="shared" si="11"/>
        <v>0</v>
      </c>
      <c r="W40" s="236">
        <f t="shared" si="11"/>
        <v>0</v>
      </c>
      <c r="X40" s="236">
        <f t="shared" si="11"/>
        <v>0</v>
      </c>
      <c r="Y40" s="236">
        <f t="shared" si="11"/>
        <v>0</v>
      </c>
      <c r="Z40" s="236">
        <f t="shared" si="11"/>
        <v>0</v>
      </c>
      <c r="AA40" s="236">
        <f t="shared" si="11"/>
        <v>0</v>
      </c>
      <c r="AB40" s="236">
        <f t="shared" si="11"/>
        <v>0</v>
      </c>
      <c r="AC40" s="236">
        <f t="shared" si="11"/>
        <v>0</v>
      </c>
      <c r="AD40" s="236">
        <f t="shared" si="11"/>
        <v>0</v>
      </c>
      <c r="AE40" s="236">
        <f t="shared" si="11"/>
        <v>0</v>
      </c>
      <c r="AF40" s="236">
        <f t="shared" si="11"/>
        <v>0</v>
      </c>
      <c r="AG40" s="236">
        <f t="shared" si="11"/>
        <v>0</v>
      </c>
      <c r="AH40" s="236">
        <f t="shared" si="11"/>
        <v>0</v>
      </c>
      <c r="AI40" s="236">
        <f t="shared" si="11"/>
        <v>0</v>
      </c>
      <c r="AJ40" s="236">
        <f t="shared" si="11"/>
        <v>0</v>
      </c>
      <c r="AK40" s="236">
        <f t="shared" si="11"/>
        <v>0</v>
      </c>
      <c r="AL40" s="236">
        <f t="shared" si="11"/>
        <v>0</v>
      </c>
      <c r="AM40" s="236">
        <f t="shared" si="11"/>
        <v>0</v>
      </c>
      <c r="AN40" s="236">
        <f t="shared" si="11"/>
        <v>0</v>
      </c>
      <c r="AO40" s="236">
        <f t="shared" si="11"/>
        <v>0</v>
      </c>
      <c r="AP40" s="236">
        <f t="shared" si="11"/>
        <v>0</v>
      </c>
      <c r="AQ40" s="236">
        <f t="shared" si="11"/>
        <v>0</v>
      </c>
      <c r="AR40" s="236">
        <f t="shared" si="11"/>
        <v>0</v>
      </c>
      <c r="AS40" s="236">
        <f t="shared" si="11"/>
        <v>0</v>
      </c>
      <c r="AT40" s="236">
        <f t="shared" si="11"/>
        <v>0</v>
      </c>
      <c r="AU40" s="236">
        <f t="shared" si="11"/>
        <v>0</v>
      </c>
      <c r="AV40" s="236">
        <f t="shared" si="11"/>
        <v>0</v>
      </c>
      <c r="AW40" s="236">
        <f t="shared" si="11"/>
        <v>0</v>
      </c>
      <c r="AX40" s="236">
        <f t="shared" si="11"/>
        <v>0</v>
      </c>
      <c r="AY40" s="236">
        <f t="shared" si="11"/>
        <v>0</v>
      </c>
      <c r="AZ40" s="236">
        <f t="shared" si="11"/>
        <v>0</v>
      </c>
      <c r="BA40" s="236">
        <f t="shared" si="11"/>
        <v>0</v>
      </c>
      <c r="BB40" s="236">
        <f t="shared" si="11"/>
        <v>0</v>
      </c>
      <c r="BC40" s="236">
        <f t="shared" si="11"/>
        <v>0</v>
      </c>
      <c r="BD40" s="236">
        <f t="shared" si="11"/>
        <v>0</v>
      </c>
      <c r="BE40" s="1288">
        <f t="shared" si="11"/>
        <v>0</v>
      </c>
    </row>
    <row r="41" spans="2:57" x14ac:dyDescent="0.25">
      <c r="B41" s="222" t="s">
        <v>134</v>
      </c>
      <c r="C41" s="220"/>
      <c r="D41" s="220"/>
      <c r="E41" s="224"/>
      <c r="F41" s="224" t="s">
        <v>22</v>
      </c>
      <c r="G41" s="236"/>
      <c r="H41" s="236">
        <f t="shared" ref="H41:P41" si="12">(H372+H373)</f>
        <v>0</v>
      </c>
      <c r="I41" s="236">
        <f t="shared" si="12"/>
        <v>0</v>
      </c>
      <c r="J41" s="236">
        <f t="shared" si="12"/>
        <v>0</v>
      </c>
      <c r="K41" s="236">
        <f t="shared" si="12"/>
        <v>0</v>
      </c>
      <c r="L41" s="236">
        <f t="shared" si="12"/>
        <v>0</v>
      </c>
      <c r="M41" s="236">
        <f t="shared" si="12"/>
        <v>0</v>
      </c>
      <c r="N41" s="236">
        <f t="shared" si="12"/>
        <v>0</v>
      </c>
      <c r="O41" s="236">
        <f t="shared" si="12"/>
        <v>0</v>
      </c>
      <c r="P41" s="236">
        <f t="shared" si="12"/>
        <v>0</v>
      </c>
      <c r="Q41" s="236">
        <f t="shared" ref="Q41:BE41" si="13">(Q372+Q373)</f>
        <v>0</v>
      </c>
      <c r="R41" s="236">
        <f t="shared" si="13"/>
        <v>0</v>
      </c>
      <c r="S41" s="236">
        <f t="shared" si="13"/>
        <v>0</v>
      </c>
      <c r="T41" s="236">
        <f t="shared" si="13"/>
        <v>0</v>
      </c>
      <c r="U41" s="236">
        <f t="shared" si="13"/>
        <v>0</v>
      </c>
      <c r="V41" s="236">
        <f t="shared" si="13"/>
        <v>0</v>
      </c>
      <c r="W41" s="236">
        <f t="shared" si="13"/>
        <v>0</v>
      </c>
      <c r="X41" s="236">
        <f t="shared" si="13"/>
        <v>0</v>
      </c>
      <c r="Y41" s="236">
        <f t="shared" si="13"/>
        <v>0</v>
      </c>
      <c r="Z41" s="236">
        <f t="shared" si="13"/>
        <v>0</v>
      </c>
      <c r="AA41" s="236">
        <f t="shared" si="13"/>
        <v>0</v>
      </c>
      <c r="AB41" s="236">
        <f t="shared" si="13"/>
        <v>0</v>
      </c>
      <c r="AC41" s="236">
        <f t="shared" si="13"/>
        <v>0</v>
      </c>
      <c r="AD41" s="236">
        <f t="shared" si="13"/>
        <v>0</v>
      </c>
      <c r="AE41" s="236">
        <f t="shared" si="13"/>
        <v>0</v>
      </c>
      <c r="AF41" s="236">
        <f t="shared" si="13"/>
        <v>0</v>
      </c>
      <c r="AG41" s="236">
        <f t="shared" si="13"/>
        <v>0</v>
      </c>
      <c r="AH41" s="236">
        <f t="shared" si="13"/>
        <v>0</v>
      </c>
      <c r="AI41" s="236">
        <f t="shared" si="13"/>
        <v>0</v>
      </c>
      <c r="AJ41" s="236">
        <f t="shared" si="13"/>
        <v>0</v>
      </c>
      <c r="AK41" s="236">
        <f t="shared" si="13"/>
        <v>0</v>
      </c>
      <c r="AL41" s="236">
        <f t="shared" si="13"/>
        <v>0</v>
      </c>
      <c r="AM41" s="236">
        <f t="shared" si="13"/>
        <v>0</v>
      </c>
      <c r="AN41" s="236">
        <f t="shared" si="13"/>
        <v>0</v>
      </c>
      <c r="AO41" s="236">
        <f t="shared" si="13"/>
        <v>0</v>
      </c>
      <c r="AP41" s="236">
        <f t="shared" si="13"/>
        <v>0</v>
      </c>
      <c r="AQ41" s="236">
        <f t="shared" si="13"/>
        <v>0</v>
      </c>
      <c r="AR41" s="236">
        <f t="shared" si="13"/>
        <v>0</v>
      </c>
      <c r="AS41" s="236">
        <f t="shared" si="13"/>
        <v>0</v>
      </c>
      <c r="AT41" s="236">
        <f t="shared" si="13"/>
        <v>0</v>
      </c>
      <c r="AU41" s="236">
        <f t="shared" si="13"/>
        <v>0</v>
      </c>
      <c r="AV41" s="236">
        <f t="shared" si="13"/>
        <v>0</v>
      </c>
      <c r="AW41" s="236">
        <f t="shared" si="13"/>
        <v>0</v>
      </c>
      <c r="AX41" s="236">
        <f t="shared" si="13"/>
        <v>0</v>
      </c>
      <c r="AY41" s="236">
        <f t="shared" si="13"/>
        <v>0</v>
      </c>
      <c r="AZ41" s="236">
        <f t="shared" si="13"/>
        <v>0</v>
      </c>
      <c r="BA41" s="236">
        <f t="shared" si="13"/>
        <v>0</v>
      </c>
      <c r="BB41" s="236">
        <f t="shared" si="13"/>
        <v>0</v>
      </c>
      <c r="BC41" s="236">
        <f t="shared" si="13"/>
        <v>0</v>
      </c>
      <c r="BD41" s="236">
        <f t="shared" si="13"/>
        <v>0</v>
      </c>
      <c r="BE41" s="1288">
        <f t="shared" si="13"/>
        <v>0</v>
      </c>
    </row>
    <row r="42" spans="2:57" x14ac:dyDescent="0.25">
      <c r="B42" s="222"/>
      <c r="C42" s="220"/>
      <c r="D42" s="220"/>
      <c r="E42" s="224"/>
      <c r="F42" s="224"/>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1288"/>
    </row>
    <row r="43" spans="2:57" x14ac:dyDescent="0.25">
      <c r="B43" s="222"/>
      <c r="C43" s="220"/>
      <c r="D43" s="220"/>
      <c r="E43" s="224"/>
      <c r="F43" s="224"/>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1288"/>
    </row>
    <row r="44" spans="2:57" x14ac:dyDescent="0.25">
      <c r="B44" s="219" t="s">
        <v>133</v>
      </c>
      <c r="C44" s="220"/>
      <c r="D44" s="220"/>
      <c r="E44" s="224"/>
      <c r="F44" s="224"/>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1288"/>
    </row>
    <row r="45" spans="2:57" x14ac:dyDescent="0.25">
      <c r="B45" s="222"/>
      <c r="C45" s="220"/>
      <c r="D45" s="220"/>
      <c r="E45" s="224"/>
      <c r="F45" s="224"/>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1288"/>
    </row>
    <row r="46" spans="2:57" x14ac:dyDescent="0.25">
      <c r="B46" s="222" t="str">
        <f>B24</f>
        <v>Operations &amp; Maintenance Expenses, excluding fuel cost</v>
      </c>
      <c r="C46" s="220"/>
      <c r="D46" s="220"/>
      <c r="E46" s="224"/>
      <c r="F46" s="224" t="s">
        <v>22</v>
      </c>
      <c r="G46" s="236"/>
      <c r="H46" s="236">
        <f t="shared" ref="H46:AM46" si="14">-H24</f>
        <v>0</v>
      </c>
      <c r="I46" s="236">
        <f t="shared" si="14"/>
        <v>0</v>
      </c>
      <c r="J46" s="236">
        <f t="shared" si="14"/>
        <v>0</v>
      </c>
      <c r="K46" s="236">
        <f t="shared" si="14"/>
        <v>0</v>
      </c>
      <c r="L46" s="236">
        <f t="shared" si="14"/>
        <v>0</v>
      </c>
      <c r="M46" s="236">
        <f t="shared" si="14"/>
        <v>0</v>
      </c>
      <c r="N46" s="236">
        <f t="shared" si="14"/>
        <v>0</v>
      </c>
      <c r="O46" s="236">
        <f t="shared" si="14"/>
        <v>0</v>
      </c>
      <c r="P46" s="236">
        <f t="shared" si="14"/>
        <v>0</v>
      </c>
      <c r="Q46" s="236">
        <f t="shared" si="14"/>
        <v>0</v>
      </c>
      <c r="R46" s="236">
        <f t="shared" si="14"/>
        <v>0</v>
      </c>
      <c r="S46" s="236">
        <f t="shared" si="14"/>
        <v>0</v>
      </c>
      <c r="T46" s="236">
        <f t="shared" si="14"/>
        <v>0</v>
      </c>
      <c r="U46" s="236">
        <f t="shared" si="14"/>
        <v>0</v>
      </c>
      <c r="V46" s="236">
        <f t="shared" si="14"/>
        <v>0</v>
      </c>
      <c r="W46" s="236">
        <f t="shared" si="14"/>
        <v>0</v>
      </c>
      <c r="X46" s="236">
        <f t="shared" si="14"/>
        <v>0</v>
      </c>
      <c r="Y46" s="236">
        <f t="shared" si="14"/>
        <v>0</v>
      </c>
      <c r="Z46" s="236">
        <f t="shared" si="14"/>
        <v>0</v>
      </c>
      <c r="AA46" s="236">
        <f t="shared" si="14"/>
        <v>0</v>
      </c>
      <c r="AB46" s="236">
        <f t="shared" si="14"/>
        <v>0</v>
      </c>
      <c r="AC46" s="236">
        <f t="shared" si="14"/>
        <v>0</v>
      </c>
      <c r="AD46" s="236">
        <f t="shared" si="14"/>
        <v>0</v>
      </c>
      <c r="AE46" s="236">
        <f t="shared" si="14"/>
        <v>0</v>
      </c>
      <c r="AF46" s="236">
        <f t="shared" si="14"/>
        <v>0</v>
      </c>
      <c r="AG46" s="236">
        <f t="shared" si="14"/>
        <v>0</v>
      </c>
      <c r="AH46" s="236">
        <f t="shared" si="14"/>
        <v>0</v>
      </c>
      <c r="AI46" s="236">
        <f t="shared" si="14"/>
        <v>0</v>
      </c>
      <c r="AJ46" s="236">
        <f t="shared" si="14"/>
        <v>0</v>
      </c>
      <c r="AK46" s="236">
        <f t="shared" si="14"/>
        <v>0</v>
      </c>
      <c r="AL46" s="236">
        <f t="shared" si="14"/>
        <v>0</v>
      </c>
      <c r="AM46" s="236">
        <f t="shared" si="14"/>
        <v>0</v>
      </c>
      <c r="AN46" s="236">
        <f t="shared" ref="AN46:BE46" si="15">-AN24</f>
        <v>0</v>
      </c>
      <c r="AO46" s="236">
        <f t="shared" si="15"/>
        <v>0</v>
      </c>
      <c r="AP46" s="236">
        <f t="shared" si="15"/>
        <v>0</v>
      </c>
      <c r="AQ46" s="236">
        <f t="shared" si="15"/>
        <v>0</v>
      </c>
      <c r="AR46" s="236">
        <f t="shared" si="15"/>
        <v>0</v>
      </c>
      <c r="AS46" s="236">
        <f t="shared" si="15"/>
        <v>0</v>
      </c>
      <c r="AT46" s="236">
        <f t="shared" si="15"/>
        <v>0</v>
      </c>
      <c r="AU46" s="236">
        <f t="shared" si="15"/>
        <v>0</v>
      </c>
      <c r="AV46" s="236">
        <f t="shared" si="15"/>
        <v>0</v>
      </c>
      <c r="AW46" s="236">
        <f t="shared" si="15"/>
        <v>0</v>
      </c>
      <c r="AX46" s="236">
        <f t="shared" si="15"/>
        <v>0</v>
      </c>
      <c r="AY46" s="236">
        <f t="shared" si="15"/>
        <v>0</v>
      </c>
      <c r="AZ46" s="236">
        <f t="shared" si="15"/>
        <v>0</v>
      </c>
      <c r="BA46" s="236">
        <f t="shared" si="15"/>
        <v>0</v>
      </c>
      <c r="BB46" s="236">
        <f t="shared" si="15"/>
        <v>0</v>
      </c>
      <c r="BC46" s="236">
        <f t="shared" si="15"/>
        <v>0</v>
      </c>
      <c r="BD46" s="236">
        <f t="shared" si="15"/>
        <v>0</v>
      </c>
      <c r="BE46" s="1288">
        <f t="shared" si="15"/>
        <v>0</v>
      </c>
    </row>
    <row r="47" spans="2:57" x14ac:dyDescent="0.25">
      <c r="B47" s="222" t="s">
        <v>41</v>
      </c>
      <c r="C47" s="220"/>
      <c r="D47" s="220"/>
      <c r="E47" s="224"/>
      <c r="F47" s="224" t="s">
        <v>22</v>
      </c>
      <c r="G47" s="236"/>
      <c r="H47" s="236">
        <f>-H32</f>
        <v>0</v>
      </c>
      <c r="I47" s="236">
        <f t="shared" ref="I47:BE47" si="16">-I32</f>
        <v>0</v>
      </c>
      <c r="J47" s="236">
        <f t="shared" si="16"/>
        <v>0</v>
      </c>
      <c r="K47" s="236">
        <f t="shared" si="16"/>
        <v>0</v>
      </c>
      <c r="L47" s="236">
        <f t="shared" si="16"/>
        <v>0</v>
      </c>
      <c r="M47" s="236">
        <f t="shared" si="16"/>
        <v>0</v>
      </c>
      <c r="N47" s="236">
        <f t="shared" si="16"/>
        <v>0</v>
      </c>
      <c r="O47" s="236">
        <f t="shared" si="16"/>
        <v>0</v>
      </c>
      <c r="P47" s="236">
        <f t="shared" si="16"/>
        <v>0</v>
      </c>
      <c r="Q47" s="236">
        <f t="shared" si="16"/>
        <v>0</v>
      </c>
      <c r="R47" s="236">
        <f t="shared" si="16"/>
        <v>0</v>
      </c>
      <c r="S47" s="236">
        <f t="shared" si="16"/>
        <v>0</v>
      </c>
      <c r="T47" s="236">
        <f t="shared" si="16"/>
        <v>0</v>
      </c>
      <c r="U47" s="236">
        <f t="shared" si="16"/>
        <v>0</v>
      </c>
      <c r="V47" s="236">
        <f t="shared" si="16"/>
        <v>0</v>
      </c>
      <c r="W47" s="236">
        <f t="shared" si="16"/>
        <v>0</v>
      </c>
      <c r="X47" s="236">
        <f t="shared" si="16"/>
        <v>0</v>
      </c>
      <c r="Y47" s="236">
        <f t="shared" si="16"/>
        <v>0</v>
      </c>
      <c r="Z47" s="236">
        <f t="shared" si="16"/>
        <v>0</v>
      </c>
      <c r="AA47" s="236">
        <f t="shared" si="16"/>
        <v>0</v>
      </c>
      <c r="AB47" s="236">
        <f t="shared" si="16"/>
        <v>0</v>
      </c>
      <c r="AC47" s="236">
        <f t="shared" si="16"/>
        <v>0</v>
      </c>
      <c r="AD47" s="236">
        <f t="shared" si="16"/>
        <v>0</v>
      </c>
      <c r="AE47" s="236">
        <f t="shared" si="16"/>
        <v>0</v>
      </c>
      <c r="AF47" s="236">
        <f t="shared" si="16"/>
        <v>0</v>
      </c>
      <c r="AG47" s="236">
        <f t="shared" si="16"/>
        <v>0</v>
      </c>
      <c r="AH47" s="236">
        <f t="shared" si="16"/>
        <v>0</v>
      </c>
      <c r="AI47" s="236">
        <f t="shared" si="16"/>
        <v>0</v>
      </c>
      <c r="AJ47" s="236">
        <f t="shared" si="16"/>
        <v>0</v>
      </c>
      <c r="AK47" s="236">
        <f t="shared" si="16"/>
        <v>0</v>
      </c>
      <c r="AL47" s="236">
        <f t="shared" si="16"/>
        <v>0</v>
      </c>
      <c r="AM47" s="236">
        <f t="shared" si="16"/>
        <v>0</v>
      </c>
      <c r="AN47" s="236">
        <f t="shared" si="16"/>
        <v>0</v>
      </c>
      <c r="AO47" s="236">
        <f t="shared" si="16"/>
        <v>0</v>
      </c>
      <c r="AP47" s="236">
        <f t="shared" si="16"/>
        <v>0</v>
      </c>
      <c r="AQ47" s="236">
        <f t="shared" si="16"/>
        <v>0</v>
      </c>
      <c r="AR47" s="236">
        <f t="shared" si="16"/>
        <v>0</v>
      </c>
      <c r="AS47" s="236">
        <f t="shared" si="16"/>
        <v>0</v>
      </c>
      <c r="AT47" s="236">
        <f t="shared" si="16"/>
        <v>0</v>
      </c>
      <c r="AU47" s="236">
        <f t="shared" si="16"/>
        <v>0</v>
      </c>
      <c r="AV47" s="236">
        <f t="shared" si="16"/>
        <v>0</v>
      </c>
      <c r="AW47" s="236">
        <f t="shared" si="16"/>
        <v>0</v>
      </c>
      <c r="AX47" s="236">
        <f t="shared" si="16"/>
        <v>0</v>
      </c>
      <c r="AY47" s="236">
        <f t="shared" si="16"/>
        <v>0</v>
      </c>
      <c r="AZ47" s="236">
        <f t="shared" si="16"/>
        <v>0</v>
      </c>
      <c r="BA47" s="236">
        <f t="shared" si="16"/>
        <v>0</v>
      </c>
      <c r="BB47" s="236">
        <f t="shared" si="16"/>
        <v>0</v>
      </c>
      <c r="BC47" s="236">
        <f t="shared" si="16"/>
        <v>0</v>
      </c>
      <c r="BD47" s="236">
        <f t="shared" si="16"/>
        <v>0</v>
      </c>
      <c r="BE47" s="1288">
        <f t="shared" si="16"/>
        <v>0</v>
      </c>
    </row>
    <row r="48" spans="2:57" x14ac:dyDescent="0.25">
      <c r="B48" s="222" t="str">
        <f>B39</f>
        <v xml:space="preserve">Front-end Fees </v>
      </c>
      <c r="C48" s="220"/>
      <c r="D48" s="220"/>
      <c r="E48" s="224"/>
      <c r="F48" s="224" t="s">
        <v>22</v>
      </c>
      <c r="G48" s="236"/>
      <c r="H48" s="236">
        <f t="shared" ref="H48:P48" si="17">-H39</f>
        <v>0</v>
      </c>
      <c r="I48" s="236">
        <f t="shared" si="17"/>
        <v>0</v>
      </c>
      <c r="J48" s="236">
        <f t="shared" si="17"/>
        <v>0</v>
      </c>
      <c r="K48" s="236">
        <f t="shared" si="17"/>
        <v>0</v>
      </c>
      <c r="L48" s="236">
        <f t="shared" si="17"/>
        <v>0</v>
      </c>
      <c r="M48" s="236">
        <f t="shared" si="17"/>
        <v>0</v>
      </c>
      <c r="N48" s="236">
        <f t="shared" si="17"/>
        <v>0</v>
      </c>
      <c r="O48" s="236">
        <f t="shared" si="17"/>
        <v>0</v>
      </c>
      <c r="P48" s="236">
        <f t="shared" si="17"/>
        <v>0</v>
      </c>
      <c r="Q48" s="236">
        <f t="shared" ref="Q48:BE48" si="18">-Q39</f>
        <v>0</v>
      </c>
      <c r="R48" s="236">
        <f t="shared" si="18"/>
        <v>0</v>
      </c>
      <c r="S48" s="236">
        <f t="shared" si="18"/>
        <v>0</v>
      </c>
      <c r="T48" s="236">
        <f t="shared" si="18"/>
        <v>0</v>
      </c>
      <c r="U48" s="236">
        <f t="shared" si="18"/>
        <v>0</v>
      </c>
      <c r="V48" s="236">
        <f t="shared" si="18"/>
        <v>0</v>
      </c>
      <c r="W48" s="236">
        <f t="shared" si="18"/>
        <v>0</v>
      </c>
      <c r="X48" s="236">
        <f t="shared" si="18"/>
        <v>0</v>
      </c>
      <c r="Y48" s="236">
        <f t="shared" si="18"/>
        <v>0</v>
      </c>
      <c r="Z48" s="236">
        <f t="shared" si="18"/>
        <v>0</v>
      </c>
      <c r="AA48" s="236">
        <f t="shared" si="18"/>
        <v>0</v>
      </c>
      <c r="AB48" s="236">
        <f t="shared" si="18"/>
        <v>0</v>
      </c>
      <c r="AC48" s="236">
        <f t="shared" si="18"/>
        <v>0</v>
      </c>
      <c r="AD48" s="236">
        <f t="shared" si="18"/>
        <v>0</v>
      </c>
      <c r="AE48" s="236">
        <f t="shared" si="18"/>
        <v>0</v>
      </c>
      <c r="AF48" s="236">
        <f t="shared" si="18"/>
        <v>0</v>
      </c>
      <c r="AG48" s="236">
        <f t="shared" si="18"/>
        <v>0</v>
      </c>
      <c r="AH48" s="236">
        <f t="shared" si="18"/>
        <v>0</v>
      </c>
      <c r="AI48" s="236">
        <f t="shared" si="18"/>
        <v>0</v>
      </c>
      <c r="AJ48" s="236">
        <f t="shared" si="18"/>
        <v>0</v>
      </c>
      <c r="AK48" s="236">
        <f t="shared" si="18"/>
        <v>0</v>
      </c>
      <c r="AL48" s="236">
        <f t="shared" si="18"/>
        <v>0</v>
      </c>
      <c r="AM48" s="236">
        <f t="shared" si="18"/>
        <v>0</v>
      </c>
      <c r="AN48" s="236">
        <f t="shared" si="18"/>
        <v>0</v>
      </c>
      <c r="AO48" s="236">
        <f t="shared" si="18"/>
        <v>0</v>
      </c>
      <c r="AP48" s="236">
        <f t="shared" si="18"/>
        <v>0</v>
      </c>
      <c r="AQ48" s="236">
        <f t="shared" si="18"/>
        <v>0</v>
      </c>
      <c r="AR48" s="236">
        <f t="shared" si="18"/>
        <v>0</v>
      </c>
      <c r="AS48" s="236">
        <f t="shared" si="18"/>
        <v>0</v>
      </c>
      <c r="AT48" s="236">
        <f t="shared" si="18"/>
        <v>0</v>
      </c>
      <c r="AU48" s="236">
        <f t="shared" si="18"/>
        <v>0</v>
      </c>
      <c r="AV48" s="236">
        <f t="shared" si="18"/>
        <v>0</v>
      </c>
      <c r="AW48" s="236">
        <f t="shared" si="18"/>
        <v>0</v>
      </c>
      <c r="AX48" s="236">
        <f t="shared" si="18"/>
        <v>0</v>
      </c>
      <c r="AY48" s="236">
        <f t="shared" si="18"/>
        <v>0</v>
      </c>
      <c r="AZ48" s="236">
        <f t="shared" si="18"/>
        <v>0</v>
      </c>
      <c r="BA48" s="236">
        <f t="shared" si="18"/>
        <v>0</v>
      </c>
      <c r="BB48" s="236">
        <f t="shared" si="18"/>
        <v>0</v>
      </c>
      <c r="BC48" s="236">
        <f t="shared" si="18"/>
        <v>0</v>
      </c>
      <c r="BD48" s="236">
        <f t="shared" si="18"/>
        <v>0</v>
      </c>
      <c r="BE48" s="1288">
        <f t="shared" si="18"/>
        <v>0</v>
      </c>
    </row>
    <row r="49" spans="2:16384" x14ac:dyDescent="0.25">
      <c r="B49" s="222" t="str">
        <f>B40</f>
        <v xml:space="preserve">Public Guarantee Fees </v>
      </c>
      <c r="C49" s="220"/>
      <c r="D49" s="220"/>
      <c r="E49" s="224"/>
      <c r="F49" s="224" t="s">
        <v>22</v>
      </c>
      <c r="G49" s="236"/>
      <c r="H49" s="236">
        <f t="shared" ref="H49:P49" si="19">-H40</f>
        <v>0</v>
      </c>
      <c r="I49" s="236">
        <f t="shared" si="19"/>
        <v>0</v>
      </c>
      <c r="J49" s="236">
        <f t="shared" si="19"/>
        <v>0</v>
      </c>
      <c r="K49" s="236">
        <f t="shared" si="19"/>
        <v>0</v>
      </c>
      <c r="L49" s="236">
        <f t="shared" si="19"/>
        <v>0</v>
      </c>
      <c r="M49" s="236">
        <f t="shared" si="19"/>
        <v>0</v>
      </c>
      <c r="N49" s="236">
        <f t="shared" si="19"/>
        <v>0</v>
      </c>
      <c r="O49" s="236">
        <f t="shared" si="19"/>
        <v>0</v>
      </c>
      <c r="P49" s="236">
        <f t="shared" si="19"/>
        <v>0</v>
      </c>
      <c r="Q49" s="236">
        <f t="shared" ref="Q49:BE49" si="20">-Q40</f>
        <v>0</v>
      </c>
      <c r="R49" s="236">
        <f t="shared" si="20"/>
        <v>0</v>
      </c>
      <c r="S49" s="236">
        <f t="shared" si="20"/>
        <v>0</v>
      </c>
      <c r="T49" s="236">
        <f t="shared" si="20"/>
        <v>0</v>
      </c>
      <c r="U49" s="236">
        <f t="shared" si="20"/>
        <v>0</v>
      </c>
      <c r="V49" s="236">
        <f t="shared" si="20"/>
        <v>0</v>
      </c>
      <c r="W49" s="236">
        <f t="shared" si="20"/>
        <v>0</v>
      </c>
      <c r="X49" s="236">
        <f t="shared" si="20"/>
        <v>0</v>
      </c>
      <c r="Y49" s="236">
        <f t="shared" si="20"/>
        <v>0</v>
      </c>
      <c r="Z49" s="236">
        <f t="shared" si="20"/>
        <v>0</v>
      </c>
      <c r="AA49" s="236">
        <f t="shared" si="20"/>
        <v>0</v>
      </c>
      <c r="AB49" s="236">
        <f t="shared" si="20"/>
        <v>0</v>
      </c>
      <c r="AC49" s="236">
        <f t="shared" si="20"/>
        <v>0</v>
      </c>
      <c r="AD49" s="236">
        <f t="shared" si="20"/>
        <v>0</v>
      </c>
      <c r="AE49" s="236">
        <f t="shared" si="20"/>
        <v>0</v>
      </c>
      <c r="AF49" s="236">
        <f t="shared" si="20"/>
        <v>0</v>
      </c>
      <c r="AG49" s="236">
        <f t="shared" si="20"/>
        <v>0</v>
      </c>
      <c r="AH49" s="236">
        <f t="shared" si="20"/>
        <v>0</v>
      </c>
      <c r="AI49" s="236">
        <f t="shared" si="20"/>
        <v>0</v>
      </c>
      <c r="AJ49" s="236">
        <f t="shared" si="20"/>
        <v>0</v>
      </c>
      <c r="AK49" s="236">
        <f t="shared" si="20"/>
        <v>0</v>
      </c>
      <c r="AL49" s="236">
        <f t="shared" si="20"/>
        <v>0</v>
      </c>
      <c r="AM49" s="236">
        <f t="shared" si="20"/>
        <v>0</v>
      </c>
      <c r="AN49" s="236">
        <f t="shared" si="20"/>
        <v>0</v>
      </c>
      <c r="AO49" s="236">
        <f t="shared" si="20"/>
        <v>0</v>
      </c>
      <c r="AP49" s="236">
        <f t="shared" si="20"/>
        <v>0</v>
      </c>
      <c r="AQ49" s="236">
        <f t="shared" si="20"/>
        <v>0</v>
      </c>
      <c r="AR49" s="236">
        <f t="shared" si="20"/>
        <v>0</v>
      </c>
      <c r="AS49" s="236">
        <f t="shared" si="20"/>
        <v>0</v>
      </c>
      <c r="AT49" s="236">
        <f t="shared" si="20"/>
        <v>0</v>
      </c>
      <c r="AU49" s="236">
        <f t="shared" si="20"/>
        <v>0</v>
      </c>
      <c r="AV49" s="236">
        <f t="shared" si="20"/>
        <v>0</v>
      </c>
      <c r="AW49" s="236">
        <f t="shared" si="20"/>
        <v>0</v>
      </c>
      <c r="AX49" s="236">
        <f t="shared" si="20"/>
        <v>0</v>
      </c>
      <c r="AY49" s="236">
        <f t="shared" si="20"/>
        <v>0</v>
      </c>
      <c r="AZ49" s="236">
        <f t="shared" si="20"/>
        <v>0</v>
      </c>
      <c r="BA49" s="236">
        <f t="shared" si="20"/>
        <v>0</v>
      </c>
      <c r="BB49" s="236">
        <f t="shared" si="20"/>
        <v>0</v>
      </c>
      <c r="BC49" s="236">
        <f t="shared" si="20"/>
        <v>0</v>
      </c>
      <c r="BD49" s="236">
        <f t="shared" si="20"/>
        <v>0</v>
      </c>
      <c r="BE49" s="1288">
        <f t="shared" si="20"/>
        <v>0</v>
      </c>
    </row>
    <row r="50" spans="2:16384" x14ac:dyDescent="0.25">
      <c r="B50" s="222" t="str">
        <f>B41</f>
        <v>Political Risk Insurance - Fees &amp; Annual Premium Payments</v>
      </c>
      <c r="C50" s="220"/>
      <c r="D50" s="220"/>
      <c r="E50" s="224"/>
      <c r="F50" s="224" t="s">
        <v>22</v>
      </c>
      <c r="G50" s="236"/>
      <c r="H50" s="236">
        <f t="shared" ref="H50:P50" si="21">-H41</f>
        <v>0</v>
      </c>
      <c r="I50" s="236">
        <f t="shared" si="21"/>
        <v>0</v>
      </c>
      <c r="J50" s="236">
        <f t="shared" si="21"/>
        <v>0</v>
      </c>
      <c r="K50" s="236">
        <f t="shared" si="21"/>
        <v>0</v>
      </c>
      <c r="L50" s="236">
        <f t="shared" si="21"/>
        <v>0</v>
      </c>
      <c r="M50" s="236">
        <f t="shared" si="21"/>
        <v>0</v>
      </c>
      <c r="N50" s="236">
        <f t="shared" si="21"/>
        <v>0</v>
      </c>
      <c r="O50" s="236">
        <f t="shared" si="21"/>
        <v>0</v>
      </c>
      <c r="P50" s="236">
        <f t="shared" si="21"/>
        <v>0</v>
      </c>
      <c r="Q50" s="236">
        <f t="shared" ref="Q50:BE50" si="22">-Q41</f>
        <v>0</v>
      </c>
      <c r="R50" s="236">
        <f t="shared" si="22"/>
        <v>0</v>
      </c>
      <c r="S50" s="236">
        <f t="shared" si="22"/>
        <v>0</v>
      </c>
      <c r="T50" s="236">
        <f t="shared" si="22"/>
        <v>0</v>
      </c>
      <c r="U50" s="236">
        <f t="shared" si="22"/>
        <v>0</v>
      </c>
      <c r="V50" s="236">
        <f t="shared" si="22"/>
        <v>0</v>
      </c>
      <c r="W50" s="236">
        <f t="shared" si="22"/>
        <v>0</v>
      </c>
      <c r="X50" s="236">
        <f t="shared" si="22"/>
        <v>0</v>
      </c>
      <c r="Y50" s="236">
        <f t="shared" si="22"/>
        <v>0</v>
      </c>
      <c r="Z50" s="236">
        <f t="shared" si="22"/>
        <v>0</v>
      </c>
      <c r="AA50" s="236">
        <f t="shared" si="22"/>
        <v>0</v>
      </c>
      <c r="AB50" s="236">
        <f t="shared" si="22"/>
        <v>0</v>
      </c>
      <c r="AC50" s="236">
        <f t="shared" si="22"/>
        <v>0</v>
      </c>
      <c r="AD50" s="236">
        <f t="shared" si="22"/>
        <v>0</v>
      </c>
      <c r="AE50" s="236">
        <f t="shared" si="22"/>
        <v>0</v>
      </c>
      <c r="AF50" s="236">
        <f t="shared" si="22"/>
        <v>0</v>
      </c>
      <c r="AG50" s="236">
        <f t="shared" si="22"/>
        <v>0</v>
      </c>
      <c r="AH50" s="236">
        <f t="shared" si="22"/>
        <v>0</v>
      </c>
      <c r="AI50" s="236">
        <f t="shared" si="22"/>
        <v>0</v>
      </c>
      <c r="AJ50" s="236">
        <f t="shared" si="22"/>
        <v>0</v>
      </c>
      <c r="AK50" s="236">
        <f t="shared" si="22"/>
        <v>0</v>
      </c>
      <c r="AL50" s="236">
        <f t="shared" si="22"/>
        <v>0</v>
      </c>
      <c r="AM50" s="236">
        <f t="shared" si="22"/>
        <v>0</v>
      </c>
      <c r="AN50" s="236">
        <f t="shared" si="22"/>
        <v>0</v>
      </c>
      <c r="AO50" s="236">
        <f t="shared" si="22"/>
        <v>0</v>
      </c>
      <c r="AP50" s="236">
        <f t="shared" si="22"/>
        <v>0</v>
      </c>
      <c r="AQ50" s="236">
        <f t="shared" si="22"/>
        <v>0</v>
      </c>
      <c r="AR50" s="236">
        <f t="shared" si="22"/>
        <v>0</v>
      </c>
      <c r="AS50" s="236">
        <f t="shared" si="22"/>
        <v>0</v>
      </c>
      <c r="AT50" s="236">
        <f t="shared" si="22"/>
        <v>0</v>
      </c>
      <c r="AU50" s="236">
        <f t="shared" si="22"/>
        <v>0</v>
      </c>
      <c r="AV50" s="236">
        <f t="shared" si="22"/>
        <v>0</v>
      </c>
      <c r="AW50" s="236">
        <f t="shared" si="22"/>
        <v>0</v>
      </c>
      <c r="AX50" s="236">
        <f t="shared" si="22"/>
        <v>0</v>
      </c>
      <c r="AY50" s="236">
        <f t="shared" si="22"/>
        <v>0</v>
      </c>
      <c r="AZ50" s="236">
        <f t="shared" si="22"/>
        <v>0</v>
      </c>
      <c r="BA50" s="236">
        <f t="shared" si="22"/>
        <v>0</v>
      </c>
      <c r="BB50" s="236">
        <f t="shared" si="22"/>
        <v>0</v>
      </c>
      <c r="BC50" s="236">
        <f t="shared" si="22"/>
        <v>0</v>
      </c>
      <c r="BD50" s="236">
        <f t="shared" si="22"/>
        <v>0</v>
      </c>
      <c r="BE50" s="1288">
        <f t="shared" si="22"/>
        <v>0</v>
      </c>
    </row>
    <row r="51" spans="2:16384" x14ac:dyDescent="0.25">
      <c r="B51" s="222" t="s">
        <v>102</v>
      </c>
      <c r="C51" s="220"/>
      <c r="D51" s="220"/>
      <c r="E51" s="224"/>
      <c r="F51" s="224" t="s">
        <v>22</v>
      </c>
      <c r="G51" s="236"/>
      <c r="H51" s="236">
        <f t="shared" ref="H51:P51" si="23">-(H311+H332+H353)</f>
        <v>0</v>
      </c>
      <c r="I51" s="236">
        <f t="shared" si="23"/>
        <v>0</v>
      </c>
      <c r="J51" s="236">
        <f t="shared" si="23"/>
        <v>0</v>
      </c>
      <c r="K51" s="236">
        <f t="shared" si="23"/>
        <v>0</v>
      </c>
      <c r="L51" s="236">
        <f t="shared" si="23"/>
        <v>0</v>
      </c>
      <c r="M51" s="236">
        <f t="shared" si="23"/>
        <v>0</v>
      </c>
      <c r="N51" s="236">
        <f t="shared" si="23"/>
        <v>0</v>
      </c>
      <c r="O51" s="236">
        <f t="shared" si="23"/>
        <v>0</v>
      </c>
      <c r="P51" s="236">
        <f t="shared" si="23"/>
        <v>0</v>
      </c>
      <c r="Q51" s="236">
        <f t="shared" ref="Q51:BE51" si="24">-(Q311+Q332+Q353)</f>
        <v>0</v>
      </c>
      <c r="R51" s="236">
        <f t="shared" si="24"/>
        <v>0</v>
      </c>
      <c r="S51" s="236">
        <f t="shared" si="24"/>
        <v>0</v>
      </c>
      <c r="T51" s="236">
        <f t="shared" si="24"/>
        <v>0</v>
      </c>
      <c r="U51" s="236">
        <f t="shared" si="24"/>
        <v>0</v>
      </c>
      <c r="V51" s="236">
        <f t="shared" si="24"/>
        <v>0</v>
      </c>
      <c r="W51" s="236">
        <f t="shared" si="24"/>
        <v>0</v>
      </c>
      <c r="X51" s="236">
        <f t="shared" si="24"/>
        <v>0</v>
      </c>
      <c r="Y51" s="236">
        <f t="shared" si="24"/>
        <v>0</v>
      </c>
      <c r="Z51" s="236">
        <f t="shared" si="24"/>
        <v>0</v>
      </c>
      <c r="AA51" s="236">
        <f t="shared" si="24"/>
        <v>0</v>
      </c>
      <c r="AB51" s="236">
        <f t="shared" si="24"/>
        <v>0</v>
      </c>
      <c r="AC51" s="236">
        <f t="shared" si="24"/>
        <v>0</v>
      </c>
      <c r="AD51" s="236">
        <f t="shared" si="24"/>
        <v>0</v>
      </c>
      <c r="AE51" s="236">
        <f t="shared" si="24"/>
        <v>0</v>
      </c>
      <c r="AF51" s="236">
        <f t="shared" si="24"/>
        <v>0</v>
      </c>
      <c r="AG51" s="236">
        <f t="shared" si="24"/>
        <v>0</v>
      </c>
      <c r="AH51" s="236">
        <f t="shared" si="24"/>
        <v>0</v>
      </c>
      <c r="AI51" s="236">
        <f t="shared" si="24"/>
        <v>0</v>
      </c>
      <c r="AJ51" s="236">
        <f t="shared" si="24"/>
        <v>0</v>
      </c>
      <c r="AK51" s="236">
        <f t="shared" si="24"/>
        <v>0</v>
      </c>
      <c r="AL51" s="236">
        <f t="shared" si="24"/>
        <v>0</v>
      </c>
      <c r="AM51" s="236">
        <f t="shared" si="24"/>
        <v>0</v>
      </c>
      <c r="AN51" s="236">
        <f t="shared" si="24"/>
        <v>0</v>
      </c>
      <c r="AO51" s="236">
        <f t="shared" si="24"/>
        <v>0</v>
      </c>
      <c r="AP51" s="236">
        <f t="shared" si="24"/>
        <v>0</v>
      </c>
      <c r="AQ51" s="236">
        <f t="shared" si="24"/>
        <v>0</v>
      </c>
      <c r="AR51" s="236">
        <f t="shared" si="24"/>
        <v>0</v>
      </c>
      <c r="AS51" s="236">
        <f t="shared" si="24"/>
        <v>0</v>
      </c>
      <c r="AT51" s="236">
        <f t="shared" si="24"/>
        <v>0</v>
      </c>
      <c r="AU51" s="236">
        <f t="shared" si="24"/>
        <v>0</v>
      </c>
      <c r="AV51" s="236">
        <f t="shared" si="24"/>
        <v>0</v>
      </c>
      <c r="AW51" s="236">
        <f t="shared" si="24"/>
        <v>0</v>
      </c>
      <c r="AX51" s="236">
        <f t="shared" si="24"/>
        <v>0</v>
      </c>
      <c r="AY51" s="236">
        <f t="shared" si="24"/>
        <v>0</v>
      </c>
      <c r="AZ51" s="236">
        <f t="shared" si="24"/>
        <v>0</v>
      </c>
      <c r="BA51" s="236">
        <f t="shared" si="24"/>
        <v>0</v>
      </c>
      <c r="BB51" s="236">
        <f t="shared" si="24"/>
        <v>0</v>
      </c>
      <c r="BC51" s="236">
        <f t="shared" si="24"/>
        <v>0</v>
      </c>
      <c r="BD51" s="236">
        <f t="shared" si="24"/>
        <v>0</v>
      </c>
      <c r="BE51" s="1288">
        <f t="shared" si="24"/>
        <v>0</v>
      </c>
    </row>
    <row r="52" spans="2:16384" x14ac:dyDescent="0.25">
      <c r="B52" s="237" t="s">
        <v>103</v>
      </c>
      <c r="C52" s="228"/>
      <c r="D52" s="228"/>
      <c r="E52" s="229"/>
      <c r="F52" s="229" t="s">
        <v>22</v>
      </c>
      <c r="G52" s="238"/>
      <c r="H52" s="238">
        <f>(H24+H32+H34+H39+H40+H41+H36+H37+H38)*'II. Inputs, Baseline Energy Mix'!$N$19</f>
        <v>0</v>
      </c>
      <c r="I52" s="238">
        <f>(I24+I32+I34+I39+I40+I41+I36+I37+I38)*'II. Inputs, Baseline Energy Mix'!$N$19</f>
        <v>0</v>
      </c>
      <c r="J52" s="238">
        <f>(J24+J32+J34+J39+J40+J41+J36+J37+J38)*'II. Inputs, Baseline Energy Mix'!$N$19</f>
        <v>0</v>
      </c>
      <c r="K52" s="238">
        <f>(K24+K32+K34+K39+K40+K41+K36+K37+K38)*'II. Inputs, Baseline Energy Mix'!$N$19</f>
        <v>0</v>
      </c>
      <c r="L52" s="238">
        <f>(L24+L32+L34+L39+L40+L41+L36+L37+L38)*'II. Inputs, Baseline Energy Mix'!$N$19</f>
        <v>0</v>
      </c>
      <c r="M52" s="238">
        <f>(M24+M32+M34+M39+M40+M41+M36+M37+M38)*'II. Inputs, Baseline Energy Mix'!$N$19</f>
        <v>0</v>
      </c>
      <c r="N52" s="238">
        <f>(N24+N32+N34+N39+N40+N41+N36+N37+N38)*'II. Inputs, Baseline Energy Mix'!$N$19</f>
        <v>0</v>
      </c>
      <c r="O52" s="238">
        <f>(O24+O32+O34+O39+O40+O41+O36+O37+O38)*'II. Inputs, Baseline Energy Mix'!$N$19</f>
        <v>0</v>
      </c>
      <c r="P52" s="238">
        <f>(P24+P32+P34+P39+P40+P41+P36+P37+P38)*'II. Inputs, Baseline Energy Mix'!$N$19</f>
        <v>0</v>
      </c>
      <c r="Q52" s="238">
        <f>(Q24+Q32+Q34+Q39+Q40+Q41+Q36+Q37+Q38)*'II. Inputs, Baseline Energy Mix'!$N$19</f>
        <v>0</v>
      </c>
      <c r="R52" s="238">
        <f>(R24+R32+R34+R39+R40+R41+R36+R37+R38)*'II. Inputs, Baseline Energy Mix'!$N$19</f>
        <v>0</v>
      </c>
      <c r="S52" s="238">
        <f>(S24+S32+S34+S39+S40+S41+S36+S37+S38)*'II. Inputs, Baseline Energy Mix'!$N$19</f>
        <v>0</v>
      </c>
      <c r="T52" s="238">
        <f>(T24+T32+T34+T39+T40+T41+T36+T37+T38)*'II. Inputs, Baseline Energy Mix'!$N$19</f>
        <v>0</v>
      </c>
      <c r="U52" s="238">
        <f>(U24+U32+U34+U39+U40+U41+U36+U37+U38)*'II. Inputs, Baseline Energy Mix'!$N$19</f>
        <v>0</v>
      </c>
      <c r="V52" s="238">
        <f>(V24+V32+V34+V39+V40+V41+V36+V37+V38)*'II. Inputs, Baseline Energy Mix'!$N$19</f>
        <v>0</v>
      </c>
      <c r="W52" s="238">
        <f>(W24+W32+W34+W39+W40+W41+W36+W37+W38)*'II. Inputs, Baseline Energy Mix'!$N$19</f>
        <v>0</v>
      </c>
      <c r="X52" s="238">
        <f>(X24+X32+X34+X39+X40+X41+X36+X37+X38)*'II. Inputs, Baseline Energy Mix'!$N$19</f>
        <v>0</v>
      </c>
      <c r="Y52" s="238">
        <f>(Y24+Y32+Y34+Y39+Y40+Y41+Y36+Y37+Y38)*'II. Inputs, Baseline Energy Mix'!$N$19</f>
        <v>0</v>
      </c>
      <c r="Z52" s="238">
        <f>(Z24+Z32+Z34+Z39+Z40+Z41+Z36+Z37+Z38)*'II. Inputs, Baseline Energy Mix'!$N$19</f>
        <v>0</v>
      </c>
      <c r="AA52" s="238">
        <f>(AA24+AA32+AA34+AA39+AA40+AA41+AA36+AA37+AA38)*'II. Inputs, Baseline Energy Mix'!$N$19</f>
        <v>0</v>
      </c>
      <c r="AB52" s="238">
        <f>(AB24+AB32+AB34+AB39+AB40+AB41+AB36+AB37+AB38)*'II. Inputs, Baseline Energy Mix'!$N$19</f>
        <v>0</v>
      </c>
      <c r="AC52" s="238">
        <f>(AC24+AC32+AC34+AC39+AC40+AC41+AC36+AC37+AC38)*'II. Inputs, Baseline Energy Mix'!$N$19</f>
        <v>0</v>
      </c>
      <c r="AD52" s="238">
        <f>(AD24+AD32+AD34+AD39+AD40+AD41+AD36+AD37+AD38)*'II. Inputs, Baseline Energy Mix'!$N$19</f>
        <v>0</v>
      </c>
      <c r="AE52" s="238">
        <f>(AE24+AE32+AE34+AE39+AE40+AE41+AE36+AE37+AE38)*'II. Inputs, Baseline Energy Mix'!$N$19</f>
        <v>0</v>
      </c>
      <c r="AF52" s="238">
        <f>(AF24+AF32+AF34+AF39+AF40+AF41+AF36+AF37+AF38)*'II. Inputs, Baseline Energy Mix'!$N$19</f>
        <v>0</v>
      </c>
      <c r="AG52" s="238">
        <f>(AG24+AG32+AG34+AG39+AG40+AG41+AG36+AG37+AG38)*'II. Inputs, Baseline Energy Mix'!$N$19</f>
        <v>0</v>
      </c>
      <c r="AH52" s="238">
        <f>(AH24+AH32+AH34+AH39+AH40+AH41+AH36+AH37+AH38)*'II. Inputs, Baseline Energy Mix'!$N$19</f>
        <v>0</v>
      </c>
      <c r="AI52" s="238">
        <f>(AI24+AI32+AI34+AI39+AI40+AI41+AI36+AI37+AI38)*'II. Inputs, Baseline Energy Mix'!$N$19</f>
        <v>0</v>
      </c>
      <c r="AJ52" s="238">
        <f>(AJ24+AJ32+AJ34+AJ39+AJ40+AJ41+AJ36+AJ37+AJ38)*'II. Inputs, Baseline Energy Mix'!$N$19</f>
        <v>0</v>
      </c>
      <c r="AK52" s="238">
        <f>(AK24+AK32+AK34+AK39+AK40+AK41+AK36+AK37+AK38)*'II. Inputs, Baseline Energy Mix'!$N$19</f>
        <v>0</v>
      </c>
      <c r="AL52" s="238">
        <f>(AL24+AL32+AL34+AL39+AL40+AL41+AL36+AL37+AL38)*'II. Inputs, Baseline Energy Mix'!$N$19</f>
        <v>0</v>
      </c>
      <c r="AM52" s="238">
        <f>(AM24+AM32+AM34+AM39+AM40+AM41+AM36+AM37+AM38)*'II. Inputs, Baseline Energy Mix'!$N$19</f>
        <v>0</v>
      </c>
      <c r="AN52" s="238">
        <f>(AN24+AN32+AN34+AN39+AN40+AN41+AN36+AN37+AN38)*'II. Inputs, Baseline Energy Mix'!$N$19</f>
        <v>0</v>
      </c>
      <c r="AO52" s="238">
        <f>(AO24+AO32+AO34+AO39+AO40+AO41+AO36+AO37+AO38)*'II. Inputs, Baseline Energy Mix'!$N$19</f>
        <v>0</v>
      </c>
      <c r="AP52" s="238">
        <f>(AP24+AP32+AP34+AP39+AP40+AP41+AP36+AP37+AP38)*'II. Inputs, Baseline Energy Mix'!$N$19</f>
        <v>0</v>
      </c>
      <c r="AQ52" s="238">
        <f>(AQ24+AQ32+AQ34+AQ39+AQ40+AQ41+AQ36+AQ37+AQ38)*'II. Inputs, Baseline Energy Mix'!$N$19</f>
        <v>0</v>
      </c>
      <c r="AR52" s="238">
        <f>(AR24+AR32+AR34+AR39+AR40+AR41+AR36+AR37+AR38)*'II. Inputs, Baseline Energy Mix'!$N$19</f>
        <v>0</v>
      </c>
      <c r="AS52" s="238">
        <f>(AS24+AS32+AS34+AS39+AS40+AS41+AS36+AS37+AS38)*'II. Inputs, Baseline Energy Mix'!$N$19</f>
        <v>0</v>
      </c>
      <c r="AT52" s="238">
        <f>(AT24+AT32+AT34+AT39+AT40+AT41+AT36+AT37+AT38)*'II. Inputs, Baseline Energy Mix'!$N$19</f>
        <v>0</v>
      </c>
      <c r="AU52" s="238">
        <f>(AU24+AU32+AU34+AU39+AU40+AU41+AU36+AU37+AU38)*'II. Inputs, Baseline Energy Mix'!$N$19</f>
        <v>0</v>
      </c>
      <c r="AV52" s="238">
        <f>(AV24+AV32+AV34+AV39+AV40+AV41+AV36+AV37+AV38)*'II. Inputs, Baseline Energy Mix'!$N$19</f>
        <v>0</v>
      </c>
      <c r="AW52" s="238">
        <f>(AW24+AW32+AW34+AW39+AW40+AW41+AW36+AW37+AW38)*'II. Inputs, Baseline Energy Mix'!$N$19</f>
        <v>0</v>
      </c>
      <c r="AX52" s="238">
        <f>(AX24+AX32+AX34+AX39+AX40+AX41+AX36+AX37+AX38)*'II. Inputs, Baseline Energy Mix'!$N$19</f>
        <v>0</v>
      </c>
      <c r="AY52" s="238">
        <f>(AY24+AY32+AY34+AY39+AY40+AY41+AY36+AY37+AY38)*'II. Inputs, Baseline Energy Mix'!$N$19</f>
        <v>0</v>
      </c>
      <c r="AZ52" s="238">
        <f>(AZ24+AZ32+AZ34+AZ39+AZ40+AZ41+AZ36+AZ37+AZ38)*'II. Inputs, Baseline Energy Mix'!$N$19</f>
        <v>0</v>
      </c>
      <c r="BA52" s="238">
        <f>(BA24+BA32+BA34+BA39+BA40+BA41+BA36+BA37+BA38)*'II. Inputs, Baseline Energy Mix'!$N$19</f>
        <v>0</v>
      </c>
      <c r="BB52" s="238">
        <f>(BB24+BB32+BB34+BB39+BB40+BB41+BB36+BB37+BB38)*'II. Inputs, Baseline Energy Mix'!$N$19</f>
        <v>0</v>
      </c>
      <c r="BC52" s="238">
        <f>(BC24+BC32+BC34+BC39+BC40+BC41+BC36+BC37+BC38)*'II. Inputs, Baseline Energy Mix'!$N$19</f>
        <v>0</v>
      </c>
      <c r="BD52" s="238">
        <f>(BD24+BD32+BD34+BD39+BD40+BD41+BD36+BD37+BD38)*'II. Inputs, Baseline Energy Mix'!$N$19</f>
        <v>0</v>
      </c>
      <c r="BE52" s="1289">
        <f>(BE24+BE32+BE34+BE39+BE40+BE41+BE36+BE37+BE38)*'II. Inputs, Baseline Energy Mix'!$N$19</f>
        <v>0</v>
      </c>
    </row>
    <row r="53" spans="2:16384" x14ac:dyDescent="0.25">
      <c r="B53" s="222" t="s">
        <v>104</v>
      </c>
      <c r="C53" s="220"/>
      <c r="D53" s="220"/>
      <c r="E53" s="224"/>
      <c r="F53" s="224" t="s">
        <v>22</v>
      </c>
      <c r="G53" s="236">
        <f>-IF('II. Inputs, Baseline Energy Mix'!$N$15&gt;0, 'II. Inputs, Baseline Energy Mix'!$N$16*'II. Inputs, Baseline Energy Mix'!$N$17*'II. Inputs, Baseline Energy Mix'!$N$29,0)</f>
        <v>0</v>
      </c>
      <c r="H53" s="236">
        <f t="shared" ref="H53:P53" si="25">SUM(H46:H52)</f>
        <v>0</v>
      </c>
      <c r="I53" s="236">
        <f t="shared" si="25"/>
        <v>0</v>
      </c>
      <c r="J53" s="236">
        <f t="shared" si="25"/>
        <v>0</v>
      </c>
      <c r="K53" s="236">
        <f t="shared" si="25"/>
        <v>0</v>
      </c>
      <c r="L53" s="236">
        <f t="shared" si="25"/>
        <v>0</v>
      </c>
      <c r="M53" s="236">
        <f t="shared" si="25"/>
        <v>0</v>
      </c>
      <c r="N53" s="236">
        <f t="shared" si="25"/>
        <v>0</v>
      </c>
      <c r="O53" s="236">
        <f t="shared" si="25"/>
        <v>0</v>
      </c>
      <c r="P53" s="236">
        <f t="shared" si="25"/>
        <v>0</v>
      </c>
      <c r="Q53" s="236">
        <f t="shared" ref="Q53:BE53" si="26">SUM(Q46:Q52)</f>
        <v>0</v>
      </c>
      <c r="R53" s="236">
        <f t="shared" si="26"/>
        <v>0</v>
      </c>
      <c r="S53" s="236">
        <f t="shared" si="26"/>
        <v>0</v>
      </c>
      <c r="T53" s="236">
        <f t="shared" si="26"/>
        <v>0</v>
      </c>
      <c r="U53" s="236">
        <f t="shared" si="26"/>
        <v>0</v>
      </c>
      <c r="V53" s="236">
        <f t="shared" si="26"/>
        <v>0</v>
      </c>
      <c r="W53" s="236">
        <f t="shared" si="26"/>
        <v>0</v>
      </c>
      <c r="X53" s="236">
        <f t="shared" si="26"/>
        <v>0</v>
      </c>
      <c r="Y53" s="236">
        <f t="shared" si="26"/>
        <v>0</v>
      </c>
      <c r="Z53" s="236">
        <f t="shared" si="26"/>
        <v>0</v>
      </c>
      <c r="AA53" s="236">
        <f t="shared" si="26"/>
        <v>0</v>
      </c>
      <c r="AB53" s="236">
        <f t="shared" si="26"/>
        <v>0</v>
      </c>
      <c r="AC53" s="236">
        <f t="shared" si="26"/>
        <v>0</v>
      </c>
      <c r="AD53" s="236">
        <f t="shared" si="26"/>
        <v>0</v>
      </c>
      <c r="AE53" s="236">
        <f t="shared" si="26"/>
        <v>0</v>
      </c>
      <c r="AF53" s="236">
        <f t="shared" si="26"/>
        <v>0</v>
      </c>
      <c r="AG53" s="236">
        <f t="shared" si="26"/>
        <v>0</v>
      </c>
      <c r="AH53" s="236">
        <f t="shared" si="26"/>
        <v>0</v>
      </c>
      <c r="AI53" s="236">
        <f t="shared" si="26"/>
        <v>0</v>
      </c>
      <c r="AJ53" s="236">
        <f t="shared" si="26"/>
        <v>0</v>
      </c>
      <c r="AK53" s="236">
        <f t="shared" si="26"/>
        <v>0</v>
      </c>
      <c r="AL53" s="236">
        <f t="shared" si="26"/>
        <v>0</v>
      </c>
      <c r="AM53" s="236">
        <f t="shared" si="26"/>
        <v>0</v>
      </c>
      <c r="AN53" s="236">
        <f t="shared" si="26"/>
        <v>0</v>
      </c>
      <c r="AO53" s="236">
        <f t="shared" si="26"/>
        <v>0</v>
      </c>
      <c r="AP53" s="236">
        <f t="shared" si="26"/>
        <v>0</v>
      </c>
      <c r="AQ53" s="236">
        <f t="shared" si="26"/>
        <v>0</v>
      </c>
      <c r="AR53" s="236">
        <f t="shared" si="26"/>
        <v>0</v>
      </c>
      <c r="AS53" s="236">
        <f t="shared" si="26"/>
        <v>0</v>
      </c>
      <c r="AT53" s="236">
        <f t="shared" si="26"/>
        <v>0</v>
      </c>
      <c r="AU53" s="236">
        <f t="shared" si="26"/>
        <v>0</v>
      </c>
      <c r="AV53" s="236">
        <f t="shared" si="26"/>
        <v>0</v>
      </c>
      <c r="AW53" s="236">
        <f t="shared" si="26"/>
        <v>0</v>
      </c>
      <c r="AX53" s="236">
        <f t="shared" si="26"/>
        <v>0</v>
      </c>
      <c r="AY53" s="236">
        <f t="shared" si="26"/>
        <v>0</v>
      </c>
      <c r="AZ53" s="236">
        <f t="shared" si="26"/>
        <v>0</v>
      </c>
      <c r="BA53" s="236">
        <f t="shared" si="26"/>
        <v>0</v>
      </c>
      <c r="BB53" s="236">
        <f t="shared" si="26"/>
        <v>0</v>
      </c>
      <c r="BC53" s="236">
        <f t="shared" si="26"/>
        <v>0</v>
      </c>
      <c r="BD53" s="236">
        <f t="shared" si="26"/>
        <v>0</v>
      </c>
      <c r="BE53" s="1288">
        <f t="shared" si="26"/>
        <v>0</v>
      </c>
    </row>
    <row r="54" spans="2:16384" x14ac:dyDescent="0.25">
      <c r="B54" s="222"/>
      <c r="C54" s="220"/>
      <c r="D54" s="220"/>
      <c r="E54" s="224"/>
      <c r="F54" s="220"/>
      <c r="G54" s="220"/>
      <c r="H54" s="220"/>
      <c r="I54" s="236"/>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1"/>
    </row>
    <row r="55" spans="2:16384" x14ac:dyDescent="0.25">
      <c r="B55" s="222" t="s">
        <v>105</v>
      </c>
      <c r="C55" s="220"/>
      <c r="D55" s="220"/>
      <c r="E55" s="224"/>
      <c r="F55" s="220"/>
      <c r="G55" s="1099">
        <f>'II. Inputs, Baseline Energy Mix'!$N$37</f>
        <v>0.153</v>
      </c>
      <c r="H55" s="220"/>
      <c r="I55" s="236"/>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c r="BD55" s="220"/>
      <c r="BE55" s="221"/>
    </row>
    <row r="56" spans="2:16384" x14ac:dyDescent="0.25">
      <c r="B56" s="222" t="s">
        <v>106</v>
      </c>
      <c r="C56" s="220"/>
      <c r="D56" s="220"/>
      <c r="E56" s="224"/>
      <c r="F56" s="220"/>
      <c r="G56" s="236">
        <f>IF(G55="NA", "NA", NPV(G55,H53:BE53)+G53)</f>
        <v>0</v>
      </c>
      <c r="H56" s="220"/>
      <c r="I56" s="236"/>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1"/>
    </row>
    <row r="57" spans="2:16384" x14ac:dyDescent="0.25">
      <c r="B57" s="222" t="s">
        <v>107</v>
      </c>
      <c r="C57" s="220"/>
      <c r="D57" s="220"/>
      <c r="E57" s="224"/>
      <c r="F57" s="220"/>
      <c r="G57" s="236">
        <f>IF(G55="NA", "NA", -NPV(G55,H20:BE20))</f>
        <v>0</v>
      </c>
      <c r="H57" s="220"/>
      <c r="I57" s="236"/>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1"/>
    </row>
    <row r="58" spans="2:16384" ht="13.8" thickBot="1" x14ac:dyDescent="0.3">
      <c r="B58" s="222" t="s">
        <v>108</v>
      </c>
      <c r="C58" s="220"/>
      <c r="D58" s="220"/>
      <c r="E58" s="224"/>
      <c r="F58" s="224" t="s">
        <v>625</v>
      </c>
      <c r="G58" s="1290" t="str">
        <f>IF(OR(G57=0,G55="NA"), "NA", G56/G57)</f>
        <v>NA</v>
      </c>
      <c r="H58" s="220"/>
      <c r="I58" s="236"/>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220"/>
      <c r="BB58" s="220"/>
      <c r="BC58" s="220"/>
      <c r="BD58" s="220"/>
      <c r="BE58" s="221"/>
    </row>
    <row r="59" spans="2:16384" ht="13.8" thickBot="1" x14ac:dyDescent="0.3">
      <c r="B59" s="239" t="s">
        <v>109</v>
      </c>
      <c r="C59" s="240"/>
      <c r="D59" s="240"/>
      <c r="E59" s="241"/>
      <c r="F59" s="241" t="s">
        <v>626</v>
      </c>
      <c r="G59" s="1291" t="str">
        <f>IF(G58="NA", "NA", $G$58/(1-'II. Inputs, Baseline Energy Mix'!$N$19))</f>
        <v>NA</v>
      </c>
      <c r="H59" s="220"/>
      <c r="I59" s="236"/>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220"/>
      <c r="BB59" s="220"/>
      <c r="BC59" s="220"/>
      <c r="BD59" s="220"/>
      <c r="BE59" s="221"/>
    </row>
    <row r="60" spans="2:16384" ht="13.8" thickBot="1" x14ac:dyDescent="0.3">
      <c r="B60" s="242"/>
      <c r="C60" s="243"/>
      <c r="D60" s="243"/>
      <c r="E60" s="244"/>
      <c r="F60" s="244"/>
      <c r="G60" s="245"/>
      <c r="H60" s="246"/>
      <c r="I60" s="247"/>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8"/>
    </row>
    <row r="61" spans="2:16384" ht="13.8" thickBot="1" x14ac:dyDescent="0.3">
      <c r="I61" s="249"/>
    </row>
    <row r="62" spans="2:16384" x14ac:dyDescent="0.25">
      <c r="B62" s="250" t="s">
        <v>163</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2"/>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x14ac:dyDescent="0.25">
      <c r="B63" s="253"/>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5"/>
    </row>
    <row r="64" spans="2:16384" x14ac:dyDescent="0.25">
      <c r="B64" s="253" t="s">
        <v>136</v>
      </c>
      <c r="C64" s="254"/>
      <c r="D64" s="254"/>
      <c r="E64" s="254"/>
      <c r="F64" s="254"/>
      <c r="G64" s="254"/>
      <c r="H64" s="256">
        <f>IF(H$13&gt;'II. Inputs, Baseline Energy Mix'!$O$18,0,1)</f>
        <v>1</v>
      </c>
      <c r="I64" s="254">
        <f>IF(I$13&gt;'II. Inputs, Baseline Energy Mix'!$O$18,0,1)</f>
        <v>1</v>
      </c>
      <c r="J64" s="254">
        <f>IF(J$13&gt;'II. Inputs, Baseline Energy Mix'!$O$18,0,1)</f>
        <v>1</v>
      </c>
      <c r="K64" s="254">
        <f>IF(K$13&gt;'II. Inputs, Baseline Energy Mix'!$O$18,0,1)</f>
        <v>1</v>
      </c>
      <c r="L64" s="254">
        <f>IF(L$13&gt;'II. Inputs, Baseline Energy Mix'!$O$18,0,1)</f>
        <v>1</v>
      </c>
      <c r="M64" s="254">
        <f>IF(M$13&gt;'II. Inputs, Baseline Energy Mix'!$O$18,0,1)</f>
        <v>1</v>
      </c>
      <c r="N64" s="254">
        <f>IF(N$13&gt;'II. Inputs, Baseline Energy Mix'!$O$18,0,1)</f>
        <v>1</v>
      </c>
      <c r="O64" s="254">
        <f>IF(O$13&gt;'II. Inputs, Baseline Energy Mix'!$O$18,0,1)</f>
        <v>1</v>
      </c>
      <c r="P64" s="254">
        <f>IF(P$13&gt;'II. Inputs, Baseline Energy Mix'!$O$18,0,1)</f>
        <v>1</v>
      </c>
      <c r="Q64" s="254">
        <f>IF(Q$13&gt;'II. Inputs, Baseline Energy Mix'!$O$18,0,1)</f>
        <v>1</v>
      </c>
      <c r="R64" s="254">
        <f>IF(R$13&gt;'II. Inputs, Baseline Energy Mix'!$O$18,0,1)</f>
        <v>1</v>
      </c>
      <c r="S64" s="254">
        <f>IF(S$13&gt;'II. Inputs, Baseline Energy Mix'!$O$18,0,1)</f>
        <v>1</v>
      </c>
      <c r="T64" s="254">
        <f>IF(T$13&gt;'II. Inputs, Baseline Energy Mix'!$O$18,0,1)</f>
        <v>1</v>
      </c>
      <c r="U64" s="254">
        <f>IF(U$13&gt;'II. Inputs, Baseline Energy Mix'!$O$18,0,1)</f>
        <v>1</v>
      </c>
      <c r="V64" s="254">
        <f>IF(V$13&gt;'II. Inputs, Baseline Energy Mix'!$O$18,0,1)</f>
        <v>1</v>
      </c>
      <c r="W64" s="254">
        <f>IF(W$13&gt;'II. Inputs, Baseline Energy Mix'!$O$18,0,1)</f>
        <v>1</v>
      </c>
      <c r="X64" s="254">
        <f>IF(X$13&gt;'II. Inputs, Baseline Energy Mix'!$O$18,0,1)</f>
        <v>1</v>
      </c>
      <c r="Y64" s="254">
        <f>IF(Y$13&gt;'II. Inputs, Baseline Energy Mix'!$O$18,0,1)</f>
        <v>1</v>
      </c>
      <c r="Z64" s="254">
        <f>IF(Z$13&gt;'II. Inputs, Baseline Energy Mix'!$O$18,0,1)</f>
        <v>1</v>
      </c>
      <c r="AA64" s="254">
        <f>IF(AA$13&gt;'II. Inputs, Baseline Energy Mix'!$O$18,0,1)</f>
        <v>1</v>
      </c>
      <c r="AB64" s="254">
        <f>IF(AB$13&gt;'II. Inputs, Baseline Energy Mix'!$O$18,0,1)</f>
        <v>1</v>
      </c>
      <c r="AC64" s="254">
        <f>IF(AC$13&gt;'II. Inputs, Baseline Energy Mix'!$O$18,0,1)</f>
        <v>1</v>
      </c>
      <c r="AD64" s="254">
        <f>IF(AD$13&gt;'II. Inputs, Baseline Energy Mix'!$O$18,0,1)</f>
        <v>1</v>
      </c>
      <c r="AE64" s="254">
        <f>IF(AE$13&gt;'II. Inputs, Baseline Energy Mix'!$O$18,0,1)</f>
        <v>1</v>
      </c>
      <c r="AF64" s="254">
        <f>IF(AF$13&gt;'II. Inputs, Baseline Energy Mix'!$O$18,0,1)</f>
        <v>1</v>
      </c>
      <c r="AG64" s="254">
        <f>IF(AG$13&gt;'II. Inputs, Baseline Energy Mix'!$O$18,0,1)</f>
        <v>1</v>
      </c>
      <c r="AH64" s="254">
        <f>IF(AH$13&gt;'II. Inputs, Baseline Energy Mix'!$O$18,0,1)</f>
        <v>1</v>
      </c>
      <c r="AI64" s="254">
        <f>IF(AI$13&gt;'II. Inputs, Baseline Energy Mix'!$O$18,0,1)</f>
        <v>1</v>
      </c>
      <c r="AJ64" s="254">
        <f>IF(AJ$13&gt;'II. Inputs, Baseline Energy Mix'!$O$18,0,1)</f>
        <v>1</v>
      </c>
      <c r="AK64" s="254">
        <f>IF(AK$13&gt;'II. Inputs, Baseline Energy Mix'!$O$18,0,1)</f>
        <v>1</v>
      </c>
      <c r="AL64" s="254">
        <f>IF(AL$13&gt;'II. Inputs, Baseline Energy Mix'!$O$18,0,1)</f>
        <v>1</v>
      </c>
      <c r="AM64" s="254">
        <f>IF(AM$13&gt;'II. Inputs, Baseline Energy Mix'!$O$18,0,1)</f>
        <v>1</v>
      </c>
      <c r="AN64" s="254">
        <f>IF(AN$13&gt;'II. Inputs, Baseline Energy Mix'!$O$18,0,1)</f>
        <v>1</v>
      </c>
      <c r="AO64" s="254">
        <f>IF(AO$13&gt;'II. Inputs, Baseline Energy Mix'!$O$18,0,1)</f>
        <v>1</v>
      </c>
      <c r="AP64" s="254">
        <f>IF(AP$13&gt;'II. Inputs, Baseline Energy Mix'!$O$18,0,1)</f>
        <v>1</v>
      </c>
      <c r="AQ64" s="254">
        <f>IF(AQ$13&gt;'II. Inputs, Baseline Energy Mix'!$O$18,0,1)</f>
        <v>1</v>
      </c>
      <c r="AR64" s="254">
        <f>IF(AR$13&gt;'II. Inputs, Baseline Energy Mix'!$O$18,0,1)</f>
        <v>1</v>
      </c>
      <c r="AS64" s="254">
        <f>IF(AS$13&gt;'II. Inputs, Baseline Energy Mix'!$O$18,0,1)</f>
        <v>1</v>
      </c>
      <c r="AT64" s="254">
        <f>IF(AT$13&gt;'II. Inputs, Baseline Energy Mix'!$O$18,0,1)</f>
        <v>1</v>
      </c>
      <c r="AU64" s="254">
        <f>IF(AU$13&gt;'II. Inputs, Baseline Energy Mix'!$O$18,0,1)</f>
        <v>1</v>
      </c>
      <c r="AV64" s="254">
        <f>IF(AV$13&gt;'II. Inputs, Baseline Energy Mix'!$O$18,0,1)</f>
        <v>0</v>
      </c>
      <c r="AW64" s="254">
        <f>IF(AW$13&gt;'II. Inputs, Baseline Energy Mix'!$O$18,0,1)</f>
        <v>0</v>
      </c>
      <c r="AX64" s="254">
        <f>IF(AX$13&gt;'II. Inputs, Baseline Energy Mix'!$O$18,0,1)</f>
        <v>0</v>
      </c>
      <c r="AY64" s="254">
        <f>IF(AY$13&gt;'II. Inputs, Baseline Energy Mix'!$O$18,0,1)</f>
        <v>0</v>
      </c>
      <c r="AZ64" s="254">
        <f>IF(AZ$13&gt;'II. Inputs, Baseline Energy Mix'!$O$18,0,1)</f>
        <v>0</v>
      </c>
      <c r="BA64" s="254">
        <f>IF(BA$13&gt;'II. Inputs, Baseline Energy Mix'!$O$18,0,1)</f>
        <v>0</v>
      </c>
      <c r="BB64" s="254">
        <f>IF(BB$13&gt;'II. Inputs, Baseline Energy Mix'!$O$18,0,1)</f>
        <v>0</v>
      </c>
      <c r="BC64" s="254">
        <f>IF(BC$13&gt;'II. Inputs, Baseline Energy Mix'!$O$18,0,1)</f>
        <v>0</v>
      </c>
      <c r="BD64" s="254">
        <f>IF(BD$13&gt;'II. Inputs, Baseline Energy Mix'!$O$18,0,1)</f>
        <v>0</v>
      </c>
      <c r="BE64" s="255">
        <f>IF(BE$13&gt;'II. Inputs, Baseline Energy Mix'!$O$18,0,1)</f>
        <v>0</v>
      </c>
    </row>
    <row r="65" spans="2:57" x14ac:dyDescent="0.25">
      <c r="B65" s="253"/>
      <c r="C65" s="254"/>
      <c r="D65" s="254"/>
      <c r="E65" s="254"/>
      <c r="F65" s="254"/>
      <c r="G65" s="254"/>
      <c r="H65" s="256"/>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5"/>
    </row>
    <row r="66" spans="2:57" x14ac:dyDescent="0.25">
      <c r="B66" s="253" t="s">
        <v>97</v>
      </c>
      <c r="C66" s="254"/>
      <c r="D66" s="254"/>
      <c r="E66" s="254"/>
      <c r="F66" s="257" t="s">
        <v>98</v>
      </c>
      <c r="G66" s="254"/>
      <c r="H66" s="258">
        <f>IF('II. Inputs, Baseline Energy Mix'!$O$15=0,0,'II. Inputs, Baseline Energy Mix'!$O$92*'II. Inputs, Baseline Energy Mix'!$O$16*H64)</f>
        <v>0</v>
      </c>
      <c r="I66" s="258">
        <f>IF('II. Inputs, Baseline Energy Mix'!$O$15=0,0,'II. Inputs, Baseline Energy Mix'!$O$92*'II. Inputs, Baseline Energy Mix'!$O$16*I64)</f>
        <v>0</v>
      </c>
      <c r="J66" s="258">
        <f>IF('II. Inputs, Baseline Energy Mix'!$O$15=0,0,'II. Inputs, Baseline Energy Mix'!$O$92*'II. Inputs, Baseline Energy Mix'!$O$16*J64)</f>
        <v>0</v>
      </c>
      <c r="K66" s="258">
        <f>IF('II. Inputs, Baseline Energy Mix'!$O$15=0,0,'II. Inputs, Baseline Energy Mix'!$O$92*'II. Inputs, Baseline Energy Mix'!$O$16*K64)</f>
        <v>0</v>
      </c>
      <c r="L66" s="258">
        <f>IF('II. Inputs, Baseline Energy Mix'!$O$15=0,0,'II. Inputs, Baseline Energy Mix'!$O$92*'II. Inputs, Baseline Energy Mix'!$O$16*L64)</f>
        <v>0</v>
      </c>
      <c r="M66" s="258">
        <f>IF('II. Inputs, Baseline Energy Mix'!$O$15=0,0,'II. Inputs, Baseline Energy Mix'!$O$92*'II. Inputs, Baseline Energy Mix'!$O$16*M64)</f>
        <v>0</v>
      </c>
      <c r="N66" s="258">
        <f>IF('II. Inputs, Baseline Energy Mix'!$O$15=0,0,'II. Inputs, Baseline Energy Mix'!$O$92*'II. Inputs, Baseline Energy Mix'!$O$16*N64)</f>
        <v>0</v>
      </c>
      <c r="O66" s="258">
        <f>IF('II. Inputs, Baseline Energy Mix'!$O$15=0,0,'II. Inputs, Baseline Energy Mix'!$O$92*'II. Inputs, Baseline Energy Mix'!$O$16*O64)</f>
        <v>0</v>
      </c>
      <c r="P66" s="258">
        <f>IF('II. Inputs, Baseline Energy Mix'!$O$15=0,0,'II. Inputs, Baseline Energy Mix'!$O$92*'II. Inputs, Baseline Energy Mix'!$O$16*P64)</f>
        <v>0</v>
      </c>
      <c r="Q66" s="258">
        <f>IF('II. Inputs, Baseline Energy Mix'!$O$15=0,0,'II. Inputs, Baseline Energy Mix'!$O$92*'II. Inputs, Baseline Energy Mix'!$O$16*Q64)</f>
        <v>0</v>
      </c>
      <c r="R66" s="258">
        <f>IF('II. Inputs, Baseline Energy Mix'!$O$15=0,0,'II. Inputs, Baseline Energy Mix'!$O$92*'II. Inputs, Baseline Energy Mix'!$O$16*R64)</f>
        <v>0</v>
      </c>
      <c r="S66" s="258">
        <f>IF('II. Inputs, Baseline Energy Mix'!$O$15=0,0,'II. Inputs, Baseline Energy Mix'!$O$92*'II. Inputs, Baseline Energy Mix'!$O$16*S64)</f>
        <v>0</v>
      </c>
      <c r="T66" s="258">
        <f>IF('II. Inputs, Baseline Energy Mix'!$O$15=0,0,'II. Inputs, Baseline Energy Mix'!$O$92*'II. Inputs, Baseline Energy Mix'!$O$16*T64)</f>
        <v>0</v>
      </c>
      <c r="U66" s="258">
        <f>IF('II. Inputs, Baseline Energy Mix'!$O$15=0,0,'II. Inputs, Baseline Energy Mix'!$O$92*'II. Inputs, Baseline Energy Mix'!$O$16*U64)</f>
        <v>0</v>
      </c>
      <c r="V66" s="258">
        <f>IF('II. Inputs, Baseline Energy Mix'!$O$15=0,0,'II. Inputs, Baseline Energy Mix'!$O$92*'II. Inputs, Baseline Energy Mix'!$O$16*V64)</f>
        <v>0</v>
      </c>
      <c r="W66" s="258">
        <f>IF('II. Inputs, Baseline Energy Mix'!$O$15=0,0,'II. Inputs, Baseline Energy Mix'!$O$92*'II. Inputs, Baseline Energy Mix'!$O$16*W64)</f>
        <v>0</v>
      </c>
      <c r="X66" s="258">
        <f>IF('II. Inputs, Baseline Energy Mix'!$O$15=0,0,'II. Inputs, Baseline Energy Mix'!$O$92*'II. Inputs, Baseline Energy Mix'!$O$16*X64)</f>
        <v>0</v>
      </c>
      <c r="Y66" s="258">
        <f>IF('II. Inputs, Baseline Energy Mix'!$O$15=0,0,'II. Inputs, Baseline Energy Mix'!$O$92*'II. Inputs, Baseline Energy Mix'!$O$16*Y64)</f>
        <v>0</v>
      </c>
      <c r="Z66" s="258">
        <f>IF('II. Inputs, Baseline Energy Mix'!$O$15=0,0,'II. Inputs, Baseline Energy Mix'!$O$92*'II. Inputs, Baseline Energy Mix'!$O$16*Z64)</f>
        <v>0</v>
      </c>
      <c r="AA66" s="258">
        <f>IF('II. Inputs, Baseline Energy Mix'!$O$15=0,0,'II. Inputs, Baseline Energy Mix'!$O$92*'II. Inputs, Baseline Energy Mix'!$O$16*AA64)</f>
        <v>0</v>
      </c>
      <c r="AB66" s="258">
        <f>IF('II. Inputs, Baseline Energy Mix'!$O$15=0,0,'II. Inputs, Baseline Energy Mix'!$O$92*'II. Inputs, Baseline Energy Mix'!$O$16*AB64)</f>
        <v>0</v>
      </c>
      <c r="AC66" s="258">
        <f>IF('II. Inputs, Baseline Energy Mix'!$O$15=0,0,'II. Inputs, Baseline Energy Mix'!$O$92*'II. Inputs, Baseline Energy Mix'!$O$16*AC64)</f>
        <v>0</v>
      </c>
      <c r="AD66" s="258">
        <f>IF('II. Inputs, Baseline Energy Mix'!$O$15=0,0,'II. Inputs, Baseline Energy Mix'!$O$92*'II. Inputs, Baseline Energy Mix'!$O$16*AD64)</f>
        <v>0</v>
      </c>
      <c r="AE66" s="258">
        <f>IF('II. Inputs, Baseline Energy Mix'!$O$15=0,0,'II. Inputs, Baseline Energy Mix'!$O$92*'II. Inputs, Baseline Energy Mix'!$O$16*AE64)</f>
        <v>0</v>
      </c>
      <c r="AF66" s="258">
        <f>IF('II. Inputs, Baseline Energy Mix'!$O$15=0,0,'II. Inputs, Baseline Energy Mix'!$O$92*'II. Inputs, Baseline Energy Mix'!$O$16*AF64)</f>
        <v>0</v>
      </c>
      <c r="AG66" s="258">
        <f>IF('II. Inputs, Baseline Energy Mix'!$O$15=0,0,'II. Inputs, Baseline Energy Mix'!$O$92*'II. Inputs, Baseline Energy Mix'!$O$16*AG64)</f>
        <v>0</v>
      </c>
      <c r="AH66" s="258">
        <f>IF('II. Inputs, Baseline Energy Mix'!$O$15=0,0,'II. Inputs, Baseline Energy Mix'!$O$92*'II. Inputs, Baseline Energy Mix'!$O$16*AH64)</f>
        <v>0</v>
      </c>
      <c r="AI66" s="258">
        <f>IF('II. Inputs, Baseline Energy Mix'!$O$15=0,0,'II. Inputs, Baseline Energy Mix'!$O$92*'II. Inputs, Baseline Energy Mix'!$O$16*AI64)</f>
        <v>0</v>
      </c>
      <c r="AJ66" s="258">
        <f>IF('II. Inputs, Baseline Energy Mix'!$O$15=0,0,'II. Inputs, Baseline Energy Mix'!$O$92*'II. Inputs, Baseline Energy Mix'!$O$16*AJ64)</f>
        <v>0</v>
      </c>
      <c r="AK66" s="258">
        <f>IF('II. Inputs, Baseline Energy Mix'!$O$15=0,0,'II. Inputs, Baseline Energy Mix'!$O$92*'II. Inputs, Baseline Energy Mix'!$O$16*AK64)</f>
        <v>0</v>
      </c>
      <c r="AL66" s="258">
        <f>IF('II. Inputs, Baseline Energy Mix'!$O$15=0,0,'II. Inputs, Baseline Energy Mix'!$O$92*'II. Inputs, Baseline Energy Mix'!$O$16*AL64)</f>
        <v>0</v>
      </c>
      <c r="AM66" s="258">
        <f>IF('II. Inputs, Baseline Energy Mix'!$O$15=0,0,'II. Inputs, Baseline Energy Mix'!$O$92*'II. Inputs, Baseline Energy Mix'!$O$16*AM64)</f>
        <v>0</v>
      </c>
      <c r="AN66" s="258">
        <f>IF('II. Inputs, Baseline Energy Mix'!$O$15=0,0,'II. Inputs, Baseline Energy Mix'!$O$92*'II. Inputs, Baseline Energy Mix'!$O$16*AN64)</f>
        <v>0</v>
      </c>
      <c r="AO66" s="258">
        <f>IF('II. Inputs, Baseline Energy Mix'!$O$15=0,0,'II. Inputs, Baseline Energy Mix'!$O$92*'II. Inputs, Baseline Energy Mix'!$O$16*AO64)</f>
        <v>0</v>
      </c>
      <c r="AP66" s="258">
        <f>IF('II. Inputs, Baseline Energy Mix'!$O$15=0,0,'II. Inputs, Baseline Energy Mix'!$O$92*'II. Inputs, Baseline Energy Mix'!$O$16*AP64)</f>
        <v>0</v>
      </c>
      <c r="AQ66" s="258">
        <f>IF('II. Inputs, Baseline Energy Mix'!$O$15=0,0,'II. Inputs, Baseline Energy Mix'!$O$92*'II. Inputs, Baseline Energy Mix'!$O$16*AQ64)</f>
        <v>0</v>
      </c>
      <c r="AR66" s="258">
        <f>IF('II. Inputs, Baseline Energy Mix'!$O$15=0,0,'II. Inputs, Baseline Energy Mix'!$O$92*'II. Inputs, Baseline Energy Mix'!$O$16*AR64)</f>
        <v>0</v>
      </c>
      <c r="AS66" s="258">
        <f>IF('II. Inputs, Baseline Energy Mix'!$O$15=0,0,'II. Inputs, Baseline Energy Mix'!$O$92*'II. Inputs, Baseline Energy Mix'!$O$16*AS64)</f>
        <v>0</v>
      </c>
      <c r="AT66" s="258">
        <f>IF('II. Inputs, Baseline Energy Mix'!$O$15=0,0,'II. Inputs, Baseline Energy Mix'!$O$92*'II. Inputs, Baseline Energy Mix'!$O$16*AT64)</f>
        <v>0</v>
      </c>
      <c r="AU66" s="258">
        <f>IF('II. Inputs, Baseline Energy Mix'!$O$15=0,0,'II. Inputs, Baseline Energy Mix'!$O$92*'II. Inputs, Baseline Energy Mix'!$O$16*AU64)</f>
        <v>0</v>
      </c>
      <c r="AV66" s="258">
        <f>IF('II. Inputs, Baseline Energy Mix'!$O$15=0,0,'II. Inputs, Baseline Energy Mix'!$O$92*'II. Inputs, Baseline Energy Mix'!$O$16*AV64)</f>
        <v>0</v>
      </c>
      <c r="AW66" s="258">
        <f>IF('II. Inputs, Baseline Energy Mix'!$O$15=0,0,'II. Inputs, Baseline Energy Mix'!$O$92*'II. Inputs, Baseline Energy Mix'!$O$16*AW64)</f>
        <v>0</v>
      </c>
      <c r="AX66" s="258">
        <f>IF('II. Inputs, Baseline Energy Mix'!$O$15=0,0,'II. Inputs, Baseline Energy Mix'!$O$92*'II. Inputs, Baseline Energy Mix'!$O$16*AX64)</f>
        <v>0</v>
      </c>
      <c r="AY66" s="258">
        <f>IF('II. Inputs, Baseline Energy Mix'!$O$15=0,0,'II. Inputs, Baseline Energy Mix'!$O$92*'II. Inputs, Baseline Energy Mix'!$O$16*AY64)</f>
        <v>0</v>
      </c>
      <c r="AZ66" s="258">
        <f>IF('II. Inputs, Baseline Energy Mix'!$O$15=0,0,'II. Inputs, Baseline Energy Mix'!$O$92*'II. Inputs, Baseline Energy Mix'!$O$16*AZ64)</f>
        <v>0</v>
      </c>
      <c r="BA66" s="258">
        <f>IF('II. Inputs, Baseline Energy Mix'!$O$15=0,0,'II. Inputs, Baseline Energy Mix'!$O$92*'II. Inputs, Baseline Energy Mix'!$O$16*BA64)</f>
        <v>0</v>
      </c>
      <c r="BB66" s="258">
        <f>IF('II. Inputs, Baseline Energy Mix'!$O$15=0,0,'II. Inputs, Baseline Energy Mix'!$O$92*'II. Inputs, Baseline Energy Mix'!$O$16*BB64)</f>
        <v>0</v>
      </c>
      <c r="BC66" s="258">
        <f>IF('II. Inputs, Baseline Energy Mix'!$O$15=0,0,'II. Inputs, Baseline Energy Mix'!$O$92*'II. Inputs, Baseline Energy Mix'!$O$16*BC64)</f>
        <v>0</v>
      </c>
      <c r="BD66" s="258">
        <f>IF('II. Inputs, Baseline Energy Mix'!$O$15=0,0,'II. Inputs, Baseline Energy Mix'!$O$92*'II. Inputs, Baseline Energy Mix'!$O$16*BD64)</f>
        <v>0</v>
      </c>
      <c r="BE66" s="259">
        <f>IF('II. Inputs, Baseline Energy Mix'!$O$15=0,0,'II. Inputs, Baseline Energy Mix'!$O$92*'II. Inputs, Baseline Energy Mix'!$O$16*BE64)</f>
        <v>0</v>
      </c>
    </row>
    <row r="67" spans="2:57" x14ac:dyDescent="0.25">
      <c r="B67" s="253"/>
      <c r="C67" s="254"/>
      <c r="D67" s="254"/>
      <c r="E67" s="257"/>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5"/>
    </row>
    <row r="68" spans="2:57" x14ac:dyDescent="0.25">
      <c r="B68" s="260" t="s">
        <v>99</v>
      </c>
      <c r="C68" s="261"/>
      <c r="D68" s="261"/>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3"/>
    </row>
    <row r="69" spans="2:57" x14ac:dyDescent="0.25">
      <c r="B69" s="253"/>
      <c r="C69" s="254"/>
      <c r="D69" s="254"/>
      <c r="E69" s="257"/>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5"/>
    </row>
    <row r="70" spans="2:57" x14ac:dyDescent="0.25">
      <c r="B70" s="253" t="s">
        <v>137</v>
      </c>
      <c r="C70" s="254"/>
      <c r="D70" s="254"/>
      <c r="E70" s="257"/>
      <c r="F70" s="257" t="s">
        <v>22</v>
      </c>
      <c r="G70" s="254"/>
      <c r="H70" s="1294">
        <f>IF('II. Inputs, Baseline Energy Mix'!$O$15=0,0,H64*'II. Inputs, Baseline Energy Mix'!$O$105*(1+'II. Inputs, Baseline Energy Mix'!$O$106)^('IV. LCOE, Baseline Energy Mix'!H$13-1))</f>
        <v>0</v>
      </c>
      <c r="I70" s="1294">
        <f>IF('II. Inputs, Baseline Energy Mix'!$O$15=0,0,I64*'II. Inputs, Baseline Energy Mix'!$O$105*(1+'II. Inputs, Baseline Energy Mix'!$O$106)^('IV. LCOE, Baseline Energy Mix'!I$13-1))</f>
        <v>0</v>
      </c>
      <c r="J70" s="1294">
        <f>IF('II. Inputs, Baseline Energy Mix'!$O$15=0,0,J64*'II. Inputs, Baseline Energy Mix'!$O$105*(1+'II. Inputs, Baseline Energy Mix'!$O$106)^('IV. LCOE, Baseline Energy Mix'!J$13-1))</f>
        <v>0</v>
      </c>
      <c r="K70" s="1294">
        <f>IF('II. Inputs, Baseline Energy Mix'!$O$15=0,0,K64*'II. Inputs, Baseline Energy Mix'!$O$105*(1+'II. Inputs, Baseline Energy Mix'!$O$106)^('IV. LCOE, Baseline Energy Mix'!K$13-1))</f>
        <v>0</v>
      </c>
      <c r="L70" s="1294">
        <f>IF('II. Inputs, Baseline Energy Mix'!$O$15=0,0,L64*'II. Inputs, Baseline Energy Mix'!$O$105*(1+'II. Inputs, Baseline Energy Mix'!$O$106)^('IV. LCOE, Baseline Energy Mix'!L$13-1))</f>
        <v>0</v>
      </c>
      <c r="M70" s="1294">
        <f>IF('II. Inputs, Baseline Energy Mix'!$O$15=0,0,M64*'II. Inputs, Baseline Energy Mix'!$O$105*(1+'II. Inputs, Baseline Energy Mix'!$O$106)^('IV. LCOE, Baseline Energy Mix'!M$13-1))</f>
        <v>0</v>
      </c>
      <c r="N70" s="1294">
        <f>IF('II. Inputs, Baseline Energy Mix'!$O$15=0,0,N64*'II. Inputs, Baseline Energy Mix'!$O$105*(1+'II. Inputs, Baseline Energy Mix'!$O$106)^('IV. LCOE, Baseline Energy Mix'!N$13-1))</f>
        <v>0</v>
      </c>
      <c r="O70" s="1294">
        <f>IF('II. Inputs, Baseline Energy Mix'!$O$15=0,0,O64*'II. Inputs, Baseline Energy Mix'!$O$105*(1+'II. Inputs, Baseline Energy Mix'!$O$106)^('IV. LCOE, Baseline Energy Mix'!O$13-1))</f>
        <v>0</v>
      </c>
      <c r="P70" s="1294">
        <f>IF('II. Inputs, Baseline Energy Mix'!$O$15=0,0,P64*'II. Inputs, Baseline Energy Mix'!$O$105*(1+'II. Inputs, Baseline Energy Mix'!$O$106)^('IV. LCOE, Baseline Energy Mix'!P$13-1))</f>
        <v>0</v>
      </c>
      <c r="Q70" s="1294">
        <f>IF('II. Inputs, Baseline Energy Mix'!$O$15=0,0,Q64*'II. Inputs, Baseline Energy Mix'!$O$105*(1+'II. Inputs, Baseline Energy Mix'!$O$106)^('IV. LCOE, Baseline Energy Mix'!Q$13-1))</f>
        <v>0</v>
      </c>
      <c r="R70" s="1294">
        <f>IF('II. Inputs, Baseline Energy Mix'!$O$15=0,0,R64*'II. Inputs, Baseline Energy Mix'!$O$105*(1+'II. Inputs, Baseline Energy Mix'!$O$106)^('IV. LCOE, Baseline Energy Mix'!R$13-1))</f>
        <v>0</v>
      </c>
      <c r="S70" s="1294">
        <f>IF('II. Inputs, Baseline Energy Mix'!$O$15=0,0,S64*'II. Inputs, Baseline Energy Mix'!$O$105*(1+'II. Inputs, Baseline Energy Mix'!$O$106)^('IV. LCOE, Baseline Energy Mix'!S$13-1))</f>
        <v>0</v>
      </c>
      <c r="T70" s="1294">
        <f>IF('II. Inputs, Baseline Energy Mix'!$O$15=0,0,T64*'II. Inputs, Baseline Energy Mix'!$O$105*(1+'II. Inputs, Baseline Energy Mix'!$O$106)^('IV. LCOE, Baseline Energy Mix'!T$13-1))</f>
        <v>0</v>
      </c>
      <c r="U70" s="1294">
        <f>IF('II. Inputs, Baseline Energy Mix'!$O$15=0,0,U64*'II. Inputs, Baseline Energy Mix'!$O$105*(1+'II. Inputs, Baseline Energy Mix'!$O$106)^('IV. LCOE, Baseline Energy Mix'!U$13-1))</f>
        <v>0</v>
      </c>
      <c r="V70" s="1294">
        <f>IF('II. Inputs, Baseline Energy Mix'!$O$15=0,0,V64*'II. Inputs, Baseline Energy Mix'!$O$105*(1+'II. Inputs, Baseline Energy Mix'!$O$106)^('IV. LCOE, Baseline Energy Mix'!V$13-1))</f>
        <v>0</v>
      </c>
      <c r="W70" s="1294">
        <f>IF('II. Inputs, Baseline Energy Mix'!$O$15=0,0,W64*'II. Inputs, Baseline Energy Mix'!$O$105*(1+'II. Inputs, Baseline Energy Mix'!$O$106)^('IV. LCOE, Baseline Energy Mix'!W$13-1))</f>
        <v>0</v>
      </c>
      <c r="X70" s="1294">
        <f>IF('II. Inputs, Baseline Energy Mix'!$O$15=0,0,X64*'II. Inputs, Baseline Energy Mix'!$O$105*(1+'II. Inputs, Baseline Energy Mix'!$O$106)^('IV. LCOE, Baseline Energy Mix'!X$13-1))</f>
        <v>0</v>
      </c>
      <c r="Y70" s="1294">
        <f>IF('II. Inputs, Baseline Energy Mix'!$O$15=0,0,Y64*'II. Inputs, Baseline Energy Mix'!$O$105*(1+'II. Inputs, Baseline Energy Mix'!$O$106)^('IV. LCOE, Baseline Energy Mix'!Y$13-1))</f>
        <v>0</v>
      </c>
      <c r="Z70" s="1294">
        <f>IF('II. Inputs, Baseline Energy Mix'!$O$15=0,0,Z64*'II. Inputs, Baseline Energy Mix'!$O$105*(1+'II. Inputs, Baseline Energy Mix'!$O$106)^('IV. LCOE, Baseline Energy Mix'!Z$13-1))</f>
        <v>0</v>
      </c>
      <c r="AA70" s="1294">
        <f>IF('II. Inputs, Baseline Energy Mix'!$O$15=0,0,AA64*'II. Inputs, Baseline Energy Mix'!$O$105*(1+'II. Inputs, Baseline Energy Mix'!$O$106)^('IV. LCOE, Baseline Energy Mix'!AA$13-1))</f>
        <v>0</v>
      </c>
      <c r="AB70" s="1294">
        <f>IF('II. Inputs, Baseline Energy Mix'!$O$15=0,0,AB64*'II. Inputs, Baseline Energy Mix'!$O$105*(1+'II. Inputs, Baseline Energy Mix'!$O$106)^('IV. LCOE, Baseline Energy Mix'!AB$13-1))</f>
        <v>0</v>
      </c>
      <c r="AC70" s="1294">
        <f>IF('II. Inputs, Baseline Energy Mix'!$O$15=0,0,AC64*'II. Inputs, Baseline Energy Mix'!$O$105*(1+'II. Inputs, Baseline Energy Mix'!$O$106)^('IV. LCOE, Baseline Energy Mix'!AC$13-1))</f>
        <v>0</v>
      </c>
      <c r="AD70" s="1294">
        <f>IF('II. Inputs, Baseline Energy Mix'!$O$15=0,0,AD64*'II. Inputs, Baseline Energy Mix'!$O$105*(1+'II. Inputs, Baseline Energy Mix'!$O$106)^('IV. LCOE, Baseline Energy Mix'!AD$13-1))</f>
        <v>0</v>
      </c>
      <c r="AE70" s="1294">
        <f>IF('II. Inputs, Baseline Energy Mix'!$O$15=0,0,AE64*'II. Inputs, Baseline Energy Mix'!$O$105*(1+'II. Inputs, Baseline Energy Mix'!$O$106)^('IV. LCOE, Baseline Energy Mix'!AE$13-1))</f>
        <v>0</v>
      </c>
      <c r="AF70" s="1294">
        <f>IF('II. Inputs, Baseline Energy Mix'!$O$15=0,0,AF64*'II. Inputs, Baseline Energy Mix'!$O$105*(1+'II. Inputs, Baseline Energy Mix'!$O$106)^('IV. LCOE, Baseline Energy Mix'!AF$13-1))</f>
        <v>0</v>
      </c>
      <c r="AG70" s="1294">
        <f>IF('II. Inputs, Baseline Energy Mix'!$O$15=0,0,AG64*'II. Inputs, Baseline Energy Mix'!$O$105*(1+'II. Inputs, Baseline Energy Mix'!$O$106)^('IV. LCOE, Baseline Energy Mix'!AG$13-1))</f>
        <v>0</v>
      </c>
      <c r="AH70" s="1294">
        <f>IF('II. Inputs, Baseline Energy Mix'!$O$15=0,0,AH64*'II. Inputs, Baseline Energy Mix'!$O$105*(1+'II. Inputs, Baseline Energy Mix'!$O$106)^('IV. LCOE, Baseline Energy Mix'!AH$13-1))</f>
        <v>0</v>
      </c>
      <c r="AI70" s="1294">
        <f>IF('II. Inputs, Baseline Energy Mix'!$O$15=0,0,AI64*'II. Inputs, Baseline Energy Mix'!$O$105*(1+'II. Inputs, Baseline Energy Mix'!$O$106)^('IV. LCOE, Baseline Energy Mix'!AI$13-1))</f>
        <v>0</v>
      </c>
      <c r="AJ70" s="1294">
        <f>IF('II. Inputs, Baseline Energy Mix'!$O$15=0,0,AJ64*'II. Inputs, Baseline Energy Mix'!$O$105*(1+'II. Inputs, Baseline Energy Mix'!$O$106)^('IV. LCOE, Baseline Energy Mix'!AJ$13-1))</f>
        <v>0</v>
      </c>
      <c r="AK70" s="1294">
        <f>IF('II. Inputs, Baseline Energy Mix'!$O$15=0,0,AK64*'II. Inputs, Baseline Energy Mix'!$O$105*(1+'II. Inputs, Baseline Energy Mix'!$O$106)^('IV. LCOE, Baseline Energy Mix'!AK$13-1))</f>
        <v>0</v>
      </c>
      <c r="AL70" s="1294">
        <f>IF('II. Inputs, Baseline Energy Mix'!$O$15=0,0,AL64*'II. Inputs, Baseline Energy Mix'!$O$105*(1+'II. Inputs, Baseline Energy Mix'!$O$106)^('IV. LCOE, Baseline Energy Mix'!AL$13-1))</f>
        <v>0</v>
      </c>
      <c r="AM70" s="1294">
        <f>IF('II. Inputs, Baseline Energy Mix'!$O$15=0,0,AM64*'II. Inputs, Baseline Energy Mix'!$O$105*(1+'II. Inputs, Baseline Energy Mix'!$O$106)^('IV. LCOE, Baseline Energy Mix'!AM$13-1))</f>
        <v>0</v>
      </c>
      <c r="AN70" s="1294">
        <f>IF('II. Inputs, Baseline Energy Mix'!$O$15=0,0,AN64*'II. Inputs, Baseline Energy Mix'!$O$105*(1+'II. Inputs, Baseline Energy Mix'!$O$106)^('IV. LCOE, Baseline Energy Mix'!AN$13-1))</f>
        <v>0</v>
      </c>
      <c r="AO70" s="1294">
        <f>IF('II. Inputs, Baseline Energy Mix'!$O$15=0,0,AO64*'II. Inputs, Baseline Energy Mix'!$O$105*(1+'II. Inputs, Baseline Energy Mix'!$O$106)^('IV. LCOE, Baseline Energy Mix'!AO$13-1))</f>
        <v>0</v>
      </c>
      <c r="AP70" s="1294">
        <f>IF('II. Inputs, Baseline Energy Mix'!$O$15=0,0,AP64*'II. Inputs, Baseline Energy Mix'!$O$105*(1+'II. Inputs, Baseline Energy Mix'!$O$106)^('IV. LCOE, Baseline Energy Mix'!AP$13-1))</f>
        <v>0</v>
      </c>
      <c r="AQ70" s="1294">
        <f>IF('II. Inputs, Baseline Energy Mix'!$O$15=0,0,AQ64*'II. Inputs, Baseline Energy Mix'!$O$105*(1+'II. Inputs, Baseline Energy Mix'!$O$106)^('IV. LCOE, Baseline Energy Mix'!AQ$13-1))</f>
        <v>0</v>
      </c>
      <c r="AR70" s="1294">
        <f>IF('II. Inputs, Baseline Energy Mix'!$O$15=0,0,AR64*'II. Inputs, Baseline Energy Mix'!$O$105*(1+'II. Inputs, Baseline Energy Mix'!$O$106)^('IV. LCOE, Baseline Energy Mix'!AR$13-1))</f>
        <v>0</v>
      </c>
      <c r="AS70" s="1294">
        <f>IF('II. Inputs, Baseline Energy Mix'!$O$15=0,0,AS64*'II. Inputs, Baseline Energy Mix'!$O$105*(1+'II. Inputs, Baseline Energy Mix'!$O$106)^('IV. LCOE, Baseline Energy Mix'!AS$13-1))</f>
        <v>0</v>
      </c>
      <c r="AT70" s="1294">
        <f>IF('II. Inputs, Baseline Energy Mix'!$O$15=0,0,AT64*'II. Inputs, Baseline Energy Mix'!$O$105*(1+'II. Inputs, Baseline Energy Mix'!$O$106)^('IV. LCOE, Baseline Energy Mix'!AT$13-1))</f>
        <v>0</v>
      </c>
      <c r="AU70" s="1294">
        <f>IF('II. Inputs, Baseline Energy Mix'!$O$15=0,0,AU64*'II. Inputs, Baseline Energy Mix'!$O$105*(1+'II. Inputs, Baseline Energy Mix'!$O$106)^('IV. LCOE, Baseline Energy Mix'!AU$13-1))</f>
        <v>0</v>
      </c>
      <c r="AV70" s="1294">
        <f>IF('II. Inputs, Baseline Energy Mix'!$O$15=0,0,AV64*'II. Inputs, Baseline Energy Mix'!$O$105*(1+'II. Inputs, Baseline Energy Mix'!$O$106)^('IV. LCOE, Baseline Energy Mix'!AV$13-1))</f>
        <v>0</v>
      </c>
      <c r="AW70" s="1294">
        <f>IF('II. Inputs, Baseline Energy Mix'!$O$15=0,0,AW64*'II. Inputs, Baseline Energy Mix'!$O$105*(1+'II. Inputs, Baseline Energy Mix'!$O$106)^('IV. LCOE, Baseline Energy Mix'!AW$13-1))</f>
        <v>0</v>
      </c>
      <c r="AX70" s="1294">
        <f>IF('II. Inputs, Baseline Energy Mix'!$O$15=0,0,AX64*'II. Inputs, Baseline Energy Mix'!$O$105*(1+'II. Inputs, Baseline Energy Mix'!$O$106)^('IV. LCOE, Baseline Energy Mix'!AX$13-1))</f>
        <v>0</v>
      </c>
      <c r="AY70" s="1294">
        <f>IF('II. Inputs, Baseline Energy Mix'!$O$15=0,0,AY64*'II. Inputs, Baseline Energy Mix'!$O$105*(1+'II. Inputs, Baseline Energy Mix'!$O$106)^('IV. LCOE, Baseline Energy Mix'!AY$13-1))</f>
        <v>0</v>
      </c>
      <c r="AZ70" s="1294">
        <f>IF('II. Inputs, Baseline Energy Mix'!$O$15=0,0,AZ64*'II. Inputs, Baseline Energy Mix'!$O$105*(1+'II. Inputs, Baseline Energy Mix'!$O$106)^('IV. LCOE, Baseline Energy Mix'!AZ$13-1))</f>
        <v>0</v>
      </c>
      <c r="BA70" s="1294">
        <f>IF('II. Inputs, Baseline Energy Mix'!$O$15=0,0,BA64*'II. Inputs, Baseline Energy Mix'!$O$105*(1+'II. Inputs, Baseline Energy Mix'!$O$106)^('IV. LCOE, Baseline Energy Mix'!BA$13-1))</f>
        <v>0</v>
      </c>
      <c r="BB70" s="1294">
        <f>IF('II. Inputs, Baseline Energy Mix'!$O$15=0,0,BB64*'II. Inputs, Baseline Energy Mix'!$O$105*(1+'II. Inputs, Baseline Energy Mix'!$O$106)^('IV. LCOE, Baseline Energy Mix'!BB$13-1))</f>
        <v>0</v>
      </c>
      <c r="BC70" s="1294">
        <f>IF('II. Inputs, Baseline Energy Mix'!$O$15=0,0,BC64*'II. Inputs, Baseline Energy Mix'!$O$105*(1+'II. Inputs, Baseline Energy Mix'!$O$106)^('IV. LCOE, Baseline Energy Mix'!BC$13-1))</f>
        <v>0</v>
      </c>
      <c r="BD70" s="1294">
        <f>IF('II. Inputs, Baseline Energy Mix'!$O$15=0,0,BD64*'II. Inputs, Baseline Energy Mix'!$O$105*(1+'II. Inputs, Baseline Energy Mix'!$O$106)^('IV. LCOE, Baseline Energy Mix'!BD$13-1))</f>
        <v>0</v>
      </c>
      <c r="BE70" s="1295">
        <f>IF('II. Inputs, Baseline Energy Mix'!$O$15=0,0,BE64*'II. Inputs, Baseline Energy Mix'!$O$105*(1+'II. Inputs, Baseline Energy Mix'!$O$106)^('IV. LCOE, Baseline Energy Mix'!BE$13-1))</f>
        <v>0</v>
      </c>
    </row>
    <row r="71" spans="2:57" x14ac:dyDescent="0.25">
      <c r="B71" s="253"/>
      <c r="C71" s="254"/>
      <c r="D71" s="254"/>
      <c r="E71" s="257"/>
      <c r="F71" s="257"/>
      <c r="G71" s="254"/>
      <c r="H71" s="1176"/>
      <c r="I71" s="1176"/>
      <c r="J71" s="1176"/>
      <c r="K71" s="1176"/>
      <c r="L71" s="1176"/>
      <c r="M71" s="1176"/>
      <c r="N71" s="1176"/>
      <c r="O71" s="1176"/>
      <c r="P71" s="1176"/>
      <c r="Q71" s="1176"/>
      <c r="R71" s="1176"/>
      <c r="S71" s="1176"/>
      <c r="T71" s="1176"/>
      <c r="U71" s="1176"/>
      <c r="V71" s="1176"/>
      <c r="W71" s="1176"/>
      <c r="X71" s="1176"/>
      <c r="Y71" s="1176"/>
      <c r="Z71" s="1176"/>
      <c r="AA71" s="1176"/>
      <c r="AB71" s="1176"/>
      <c r="AC71" s="1176"/>
      <c r="AD71" s="1176"/>
      <c r="AE71" s="1176"/>
      <c r="AF71" s="1176"/>
      <c r="AG71" s="1176"/>
      <c r="AH71" s="1176"/>
      <c r="AI71" s="1176"/>
      <c r="AJ71" s="1176"/>
      <c r="AK71" s="1176"/>
      <c r="AL71" s="1176"/>
      <c r="AM71" s="1176"/>
      <c r="AN71" s="1176"/>
      <c r="AO71" s="1176"/>
      <c r="AP71" s="1176"/>
      <c r="AQ71" s="1176"/>
      <c r="AR71" s="1176"/>
      <c r="AS71" s="1176"/>
      <c r="AT71" s="1176"/>
      <c r="AU71" s="1176"/>
      <c r="AV71" s="1176"/>
      <c r="AW71" s="1176"/>
      <c r="AX71" s="1176"/>
      <c r="AY71" s="1176"/>
      <c r="AZ71" s="1176"/>
      <c r="BA71" s="1176"/>
      <c r="BB71" s="1176"/>
      <c r="BC71" s="1176"/>
      <c r="BD71" s="1176"/>
      <c r="BE71" s="1177"/>
    </row>
    <row r="72" spans="2:57" x14ac:dyDescent="0.25">
      <c r="B72" s="253" t="s">
        <v>38</v>
      </c>
      <c r="C72" s="254"/>
      <c r="D72" s="254"/>
      <c r="E72" s="257"/>
      <c r="F72" s="257" t="s">
        <v>626</v>
      </c>
      <c r="G72" s="254"/>
      <c r="H72" s="1292">
        <f>IF('II. Inputs, Baseline Energy Mix'!$O$96="Model Default",'IV. LCOE, Baseline Energy Mix'!H73,IF('II. Inputs, Baseline Energy Mix'!$O$96="User-defined, annually adjusted",'IV. LCOE, Baseline Energy Mix'!H74,IF('II. Inputs, Baseline Energy Mix'!$O$96="Manual Entry",'IV. LCOE, Baseline Energy Mix'!H76,H75)))</f>
        <v>11.693231398016538</v>
      </c>
      <c r="I72" s="1292">
        <f>IF('II. Inputs, Baseline Energy Mix'!$O$96="Model Default",'IV. LCOE, Baseline Energy Mix'!I73,IF('II. Inputs, Baseline Energy Mix'!$O$96="User-defined, annually adjusted",'IV. LCOE, Baseline Energy Mix'!I74,IF('II. Inputs, Baseline Energy Mix'!$O$96="Manual Entry",'IV. LCOE, Baseline Energy Mix'!I76,I75)))</f>
        <v>11.826462796033075</v>
      </c>
      <c r="J72" s="1292">
        <f>IF('II. Inputs, Baseline Energy Mix'!$O$96="Model Default",'IV. LCOE, Baseline Energy Mix'!J73,IF('II. Inputs, Baseline Energy Mix'!$O$96="User-defined, annually adjusted",'IV. LCOE, Baseline Energy Mix'!J74,IF('II. Inputs, Baseline Energy Mix'!$O$96="Manual Entry",'IV. LCOE, Baseline Energy Mix'!J76,J75)))</f>
        <v>11.959694194049613</v>
      </c>
      <c r="K72" s="1292">
        <f>IF('II. Inputs, Baseline Energy Mix'!$O$96="Model Default",'IV. LCOE, Baseline Energy Mix'!K73,IF('II. Inputs, Baseline Energy Mix'!$O$96="User-defined, annually adjusted",'IV. LCOE, Baseline Energy Mix'!K74,IF('II. Inputs, Baseline Energy Mix'!$O$96="Manual Entry",'IV. LCOE, Baseline Energy Mix'!K76,K75)))</f>
        <v>12.09292559206615</v>
      </c>
      <c r="L72" s="1292">
        <f>IF('II. Inputs, Baseline Energy Mix'!$O$96="Model Default",'IV. LCOE, Baseline Energy Mix'!L73,IF('II. Inputs, Baseline Energy Mix'!$O$96="User-defined, annually adjusted",'IV. LCOE, Baseline Energy Mix'!L74,IF('II. Inputs, Baseline Energy Mix'!$O$96="Manual Entry",'IV. LCOE, Baseline Energy Mix'!L76,L75)))</f>
        <v>12.226156990082687</v>
      </c>
      <c r="M72" s="1292">
        <f>IF('II. Inputs, Baseline Energy Mix'!$O$96="Model Default",'IV. LCOE, Baseline Energy Mix'!M73,IF('II. Inputs, Baseline Energy Mix'!$O$96="User-defined, annually adjusted",'IV. LCOE, Baseline Energy Mix'!M74,IF('II. Inputs, Baseline Energy Mix'!$O$96="Manual Entry",'IV. LCOE, Baseline Energy Mix'!M76,M75)))</f>
        <v>12.359388388099225</v>
      </c>
      <c r="N72" s="1292">
        <f>IF('II. Inputs, Baseline Energy Mix'!$O$96="Model Default",'IV. LCOE, Baseline Energy Mix'!N73,IF('II. Inputs, Baseline Energy Mix'!$O$96="User-defined, annually adjusted",'IV. LCOE, Baseline Energy Mix'!N74,IF('II. Inputs, Baseline Energy Mix'!$O$96="Manual Entry",'IV. LCOE, Baseline Energy Mix'!N76,N75)))</f>
        <v>12.492619786115762</v>
      </c>
      <c r="O72" s="1292">
        <f>IF('II. Inputs, Baseline Energy Mix'!$O$96="Model Default",'IV. LCOE, Baseline Energy Mix'!O73,IF('II. Inputs, Baseline Energy Mix'!$O$96="User-defined, annually adjusted",'IV. LCOE, Baseline Energy Mix'!O74,IF('II. Inputs, Baseline Energy Mix'!$O$96="Manual Entry",'IV. LCOE, Baseline Energy Mix'!O76,O75)))</f>
        <v>12.6258511841323</v>
      </c>
      <c r="P72" s="1292">
        <f>IF('II. Inputs, Baseline Energy Mix'!$O$96="Model Default",'IV. LCOE, Baseline Energy Mix'!P73,IF('II. Inputs, Baseline Energy Mix'!$O$96="User-defined, annually adjusted",'IV. LCOE, Baseline Energy Mix'!P74,IF('II. Inputs, Baseline Energy Mix'!$O$96="Manual Entry",'IV. LCOE, Baseline Energy Mix'!P76,P75)))</f>
        <v>12.759082582148837</v>
      </c>
      <c r="Q72" s="1292">
        <f>IF('II. Inputs, Baseline Energy Mix'!$O$96="Model Default",'IV. LCOE, Baseline Energy Mix'!Q73,IF('II. Inputs, Baseline Energy Mix'!$O$96="User-defined, annually adjusted",'IV. LCOE, Baseline Energy Mix'!Q74,IF('II. Inputs, Baseline Energy Mix'!$O$96="Manual Entry",'IV. LCOE, Baseline Energy Mix'!Q76,Q75)))</f>
        <v>12.892313980165374</v>
      </c>
      <c r="R72" s="1292">
        <f>IF('II. Inputs, Baseline Energy Mix'!$O$96="Model Default",'IV. LCOE, Baseline Energy Mix'!R73,IF('II. Inputs, Baseline Energy Mix'!$O$96="User-defined, annually adjusted",'IV. LCOE, Baseline Energy Mix'!R74,IF('II. Inputs, Baseline Energy Mix'!$O$96="Manual Entry",'IV. LCOE, Baseline Energy Mix'!R76,R75)))</f>
        <v>13.025545378181912</v>
      </c>
      <c r="S72" s="1292">
        <f>IF('II. Inputs, Baseline Energy Mix'!$O$96="Model Default",'IV. LCOE, Baseline Energy Mix'!S73,IF('II. Inputs, Baseline Energy Mix'!$O$96="User-defined, annually adjusted",'IV. LCOE, Baseline Energy Mix'!S74,IF('II. Inputs, Baseline Energy Mix'!$O$96="Manual Entry",'IV. LCOE, Baseline Energy Mix'!S76,S75)))</f>
        <v>13.158776776198449</v>
      </c>
      <c r="T72" s="1292">
        <f>IF('II. Inputs, Baseline Energy Mix'!$O$96="Model Default",'IV. LCOE, Baseline Energy Mix'!T73,IF('II. Inputs, Baseline Energy Mix'!$O$96="User-defined, annually adjusted",'IV. LCOE, Baseline Energy Mix'!T74,IF('II. Inputs, Baseline Energy Mix'!$O$96="Manual Entry",'IV. LCOE, Baseline Energy Mix'!T76,T75)))</f>
        <v>13.292008174214986</v>
      </c>
      <c r="U72" s="1292">
        <f>IF('II. Inputs, Baseline Energy Mix'!$O$96="Model Default",'IV. LCOE, Baseline Energy Mix'!U73,IF('II. Inputs, Baseline Energy Mix'!$O$96="User-defined, annually adjusted",'IV. LCOE, Baseline Energy Mix'!U74,IF('II. Inputs, Baseline Energy Mix'!$O$96="Manual Entry",'IV. LCOE, Baseline Energy Mix'!U76,U75)))</f>
        <v>13.425239572231524</v>
      </c>
      <c r="V72" s="1292">
        <f>IF('II. Inputs, Baseline Energy Mix'!$O$96="Model Default",'IV. LCOE, Baseline Energy Mix'!V73,IF('II. Inputs, Baseline Energy Mix'!$O$96="User-defined, annually adjusted",'IV. LCOE, Baseline Energy Mix'!V74,IF('II. Inputs, Baseline Energy Mix'!$O$96="Manual Entry",'IV. LCOE, Baseline Energy Mix'!V76,V75)))</f>
        <v>13.558470970248061</v>
      </c>
      <c r="W72" s="1292">
        <f>IF('II. Inputs, Baseline Energy Mix'!$O$96="Model Default",'IV. LCOE, Baseline Energy Mix'!W73,IF('II. Inputs, Baseline Energy Mix'!$O$96="User-defined, annually adjusted",'IV. LCOE, Baseline Energy Mix'!W74,IF('II. Inputs, Baseline Energy Mix'!$O$96="Manual Entry",'IV. LCOE, Baseline Energy Mix'!W76,W75)))</f>
        <v>13.691702368264599</v>
      </c>
      <c r="X72" s="1292">
        <f>IF('II. Inputs, Baseline Energy Mix'!$O$96="Model Default",'IV. LCOE, Baseline Energy Mix'!X73,IF('II. Inputs, Baseline Energy Mix'!$O$96="User-defined, annually adjusted",'IV. LCOE, Baseline Energy Mix'!X74,IF('II. Inputs, Baseline Energy Mix'!$O$96="Manual Entry",'IV. LCOE, Baseline Energy Mix'!X76,X75)))</f>
        <v>13.824933766281136</v>
      </c>
      <c r="Y72" s="1292">
        <f>IF('II. Inputs, Baseline Energy Mix'!$O$96="Model Default",'IV. LCOE, Baseline Energy Mix'!Y73,IF('II. Inputs, Baseline Energy Mix'!$O$96="User-defined, annually adjusted",'IV. LCOE, Baseline Energy Mix'!Y74,IF('II. Inputs, Baseline Energy Mix'!$O$96="Manual Entry",'IV. LCOE, Baseline Energy Mix'!Y76,Y75)))</f>
        <v>13.958165164297673</v>
      </c>
      <c r="Z72" s="1292">
        <f>IF('II. Inputs, Baseline Energy Mix'!$O$96="Model Default",'IV. LCOE, Baseline Energy Mix'!Z73,IF('II. Inputs, Baseline Energy Mix'!$O$96="User-defined, annually adjusted",'IV. LCOE, Baseline Energy Mix'!Z74,IF('II. Inputs, Baseline Energy Mix'!$O$96="Manual Entry",'IV. LCOE, Baseline Energy Mix'!Z76,Z75)))</f>
        <v>14.091396562314211</v>
      </c>
      <c r="AA72" s="1292">
        <f>IF('II. Inputs, Baseline Energy Mix'!$O$96="Model Default",'IV. LCOE, Baseline Energy Mix'!AA73,IF('II. Inputs, Baseline Energy Mix'!$O$96="User-defined, annually adjusted",'IV. LCOE, Baseline Energy Mix'!AA74,IF('II. Inputs, Baseline Energy Mix'!$O$96="Manual Entry",'IV. LCOE, Baseline Energy Mix'!AA76,AA75)))</f>
        <v>14.224627960330748</v>
      </c>
      <c r="AB72" s="1292">
        <f>IF('II. Inputs, Baseline Energy Mix'!$O$96="Model Default",'IV. LCOE, Baseline Energy Mix'!AB73,IF('II. Inputs, Baseline Energy Mix'!$O$96="User-defined, annually adjusted",'IV. LCOE, Baseline Energy Mix'!AB74,IF('II. Inputs, Baseline Energy Mix'!$O$96="Manual Entry",'IV. LCOE, Baseline Energy Mix'!AB76,AB75)))</f>
        <v>14.827929346447126</v>
      </c>
      <c r="AC72" s="1292">
        <f>IF('II. Inputs, Baseline Energy Mix'!$O$96="Model Default",'IV. LCOE, Baseline Energy Mix'!AC73,IF('II. Inputs, Baseline Energy Mix'!$O$96="User-defined, annually adjusted",'IV. LCOE, Baseline Energy Mix'!AC74,IF('II. Inputs, Baseline Energy Mix'!$O$96="Manual Entry",'IV. LCOE, Baseline Energy Mix'!AC76,AC75)))</f>
        <v>15.431230732563503</v>
      </c>
      <c r="AD72" s="1292">
        <f>IF('II. Inputs, Baseline Energy Mix'!$O$96="Model Default",'IV. LCOE, Baseline Energy Mix'!AD73,IF('II. Inputs, Baseline Energy Mix'!$O$96="User-defined, annually adjusted",'IV. LCOE, Baseline Energy Mix'!AD74,IF('II. Inputs, Baseline Energy Mix'!$O$96="Manual Entry",'IV. LCOE, Baseline Energy Mix'!AD76,AD75)))</f>
        <v>16.034532118679877</v>
      </c>
      <c r="AE72" s="1292">
        <f>IF('II. Inputs, Baseline Energy Mix'!$O$96="Model Default",'IV. LCOE, Baseline Energy Mix'!AE73,IF('II. Inputs, Baseline Energy Mix'!$O$96="User-defined, annually adjusted",'IV. LCOE, Baseline Energy Mix'!AE74,IF('II. Inputs, Baseline Energy Mix'!$O$96="Manual Entry",'IV. LCOE, Baseline Energy Mix'!AE76,AE75)))</f>
        <v>16.637833504796255</v>
      </c>
      <c r="AF72" s="1292">
        <f>IF('II. Inputs, Baseline Energy Mix'!$O$96="Model Default",'IV. LCOE, Baseline Energy Mix'!AF73,IF('II. Inputs, Baseline Energy Mix'!$O$96="User-defined, annually adjusted",'IV. LCOE, Baseline Energy Mix'!AF74,IF('II. Inputs, Baseline Energy Mix'!$O$96="Manual Entry",'IV. LCOE, Baseline Energy Mix'!AF76,AF75)))</f>
        <v>17.241134890912633</v>
      </c>
      <c r="AG72" s="1292">
        <f>IF('II. Inputs, Baseline Energy Mix'!$O$96="Model Default",'IV. LCOE, Baseline Energy Mix'!AG73,IF('II. Inputs, Baseline Energy Mix'!$O$96="User-defined, annually adjusted",'IV. LCOE, Baseline Energy Mix'!AG74,IF('II. Inputs, Baseline Energy Mix'!$O$96="Manual Entry",'IV. LCOE, Baseline Energy Mix'!AG76,AG75)))</f>
        <v>17.844436277029011</v>
      </c>
      <c r="AH72" s="1292">
        <f>IF('II. Inputs, Baseline Energy Mix'!$O$96="Model Default",'IV. LCOE, Baseline Energy Mix'!AH73,IF('II. Inputs, Baseline Energy Mix'!$O$96="User-defined, annually adjusted",'IV. LCOE, Baseline Energy Mix'!AH74,IF('II. Inputs, Baseline Energy Mix'!$O$96="Manual Entry",'IV. LCOE, Baseline Energy Mix'!AH76,AH75)))</f>
        <v>18.447737663145389</v>
      </c>
      <c r="AI72" s="1292">
        <f>IF('II. Inputs, Baseline Energy Mix'!$O$96="Model Default",'IV. LCOE, Baseline Energy Mix'!AI73,IF('II. Inputs, Baseline Energy Mix'!$O$96="User-defined, annually adjusted",'IV. LCOE, Baseline Energy Mix'!AI74,IF('II. Inputs, Baseline Energy Mix'!$O$96="Manual Entry",'IV. LCOE, Baseline Energy Mix'!AI76,AI75)))</f>
        <v>19.051039049261767</v>
      </c>
      <c r="AJ72" s="1292">
        <f>IF('II. Inputs, Baseline Energy Mix'!$O$96="Model Default",'IV. LCOE, Baseline Energy Mix'!AJ73,IF('II. Inputs, Baseline Energy Mix'!$O$96="User-defined, annually adjusted",'IV. LCOE, Baseline Energy Mix'!AJ74,IF('II. Inputs, Baseline Energy Mix'!$O$96="Manual Entry",'IV. LCOE, Baseline Energy Mix'!AJ76,AJ75)))</f>
        <v>19.654340435378145</v>
      </c>
      <c r="AK72" s="1292">
        <f>IF('II. Inputs, Baseline Energy Mix'!$O$96="Model Default",'IV. LCOE, Baseline Energy Mix'!AK73,IF('II. Inputs, Baseline Energy Mix'!$O$96="User-defined, annually adjusted",'IV. LCOE, Baseline Energy Mix'!AK74,IF('II. Inputs, Baseline Energy Mix'!$O$96="Manual Entry",'IV. LCOE, Baseline Energy Mix'!AK76,AK75)))</f>
        <v>20.257641821494516</v>
      </c>
      <c r="AL72" s="1292">
        <f>IF('II. Inputs, Baseline Energy Mix'!$O$96="Model Default",'IV. LCOE, Baseline Energy Mix'!AL73,IF('II. Inputs, Baseline Energy Mix'!$O$96="User-defined, annually adjusted",'IV. LCOE, Baseline Energy Mix'!AL74,IF('II. Inputs, Baseline Energy Mix'!$O$96="Manual Entry",'IV. LCOE, Baseline Energy Mix'!AL76,AL75)))</f>
        <v>20.860943207610894</v>
      </c>
      <c r="AM72" s="1292">
        <f>IF('II. Inputs, Baseline Energy Mix'!$O$96="Model Default",'IV. LCOE, Baseline Energy Mix'!AM73,IF('II. Inputs, Baseline Energy Mix'!$O$96="User-defined, annually adjusted",'IV. LCOE, Baseline Energy Mix'!AM74,IF('II. Inputs, Baseline Energy Mix'!$O$96="Manual Entry",'IV. LCOE, Baseline Energy Mix'!AM76,AM75)))</f>
        <v>21.464244593727273</v>
      </c>
      <c r="AN72" s="1292">
        <f>IF('II. Inputs, Baseline Energy Mix'!$O$96="Model Default",'IV. LCOE, Baseline Energy Mix'!AN73,IF('II. Inputs, Baseline Energy Mix'!$O$96="User-defined, annually adjusted",'IV. LCOE, Baseline Energy Mix'!AN74,IF('II. Inputs, Baseline Energy Mix'!$O$96="Manual Entry",'IV. LCOE, Baseline Energy Mix'!AN76,AN75)))</f>
        <v>22.067545979843651</v>
      </c>
      <c r="AO72" s="1292">
        <f>IF('II. Inputs, Baseline Energy Mix'!$O$96="Model Default",'IV. LCOE, Baseline Energy Mix'!AO73,IF('II. Inputs, Baseline Energy Mix'!$O$96="User-defined, annually adjusted",'IV. LCOE, Baseline Energy Mix'!AO74,IF('II. Inputs, Baseline Energy Mix'!$O$96="Manual Entry",'IV. LCOE, Baseline Energy Mix'!AO76,AO75)))</f>
        <v>22.670847365960029</v>
      </c>
      <c r="AP72" s="1292">
        <f>IF('II. Inputs, Baseline Energy Mix'!$O$96="Model Default",'IV. LCOE, Baseline Energy Mix'!AP73,IF('II. Inputs, Baseline Energy Mix'!$O$96="User-defined, annually adjusted",'IV. LCOE, Baseline Energy Mix'!AP74,IF('II. Inputs, Baseline Energy Mix'!$O$96="Manual Entry",'IV. LCOE, Baseline Energy Mix'!AP76,AP75)))</f>
        <v>23.274148752076407</v>
      </c>
      <c r="AQ72" s="1292">
        <f>IF('II. Inputs, Baseline Energy Mix'!$O$96="Model Default",'IV. LCOE, Baseline Energy Mix'!AQ73,IF('II. Inputs, Baseline Energy Mix'!$O$96="User-defined, annually adjusted",'IV. LCOE, Baseline Energy Mix'!AQ74,IF('II. Inputs, Baseline Energy Mix'!$O$96="Manual Entry",'IV. LCOE, Baseline Energy Mix'!AQ76,AQ75)))</f>
        <v>23.877450138192785</v>
      </c>
      <c r="AR72" s="1292">
        <f>IF('II. Inputs, Baseline Energy Mix'!$O$96="Model Default",'IV. LCOE, Baseline Energy Mix'!AR73,IF('II. Inputs, Baseline Energy Mix'!$O$96="User-defined, annually adjusted",'IV. LCOE, Baseline Energy Mix'!AR74,IF('II. Inputs, Baseline Energy Mix'!$O$96="Manual Entry",'IV. LCOE, Baseline Energy Mix'!AR76,AR75)))</f>
        <v>24.480751524309163</v>
      </c>
      <c r="AS72" s="1292">
        <f>IF('II. Inputs, Baseline Energy Mix'!$O$96="Model Default",'IV. LCOE, Baseline Energy Mix'!AS73,IF('II. Inputs, Baseline Energy Mix'!$O$96="User-defined, annually adjusted",'IV. LCOE, Baseline Energy Mix'!AS74,IF('II. Inputs, Baseline Energy Mix'!$O$96="Manual Entry",'IV. LCOE, Baseline Energy Mix'!AS76,AS75)))</f>
        <v>25.084052910425534</v>
      </c>
      <c r="AT72" s="1292">
        <f>IF('II. Inputs, Baseline Energy Mix'!$O$96="Model Default",'IV. LCOE, Baseline Energy Mix'!AT73,IF('II. Inputs, Baseline Energy Mix'!$O$96="User-defined, annually adjusted",'IV. LCOE, Baseline Energy Mix'!AT74,IF('II. Inputs, Baseline Energy Mix'!$O$96="Manual Entry",'IV. LCOE, Baseline Energy Mix'!AT76,AT75)))</f>
        <v>25.687354296541912</v>
      </c>
      <c r="AU72" s="1292">
        <f>IF('II. Inputs, Baseline Energy Mix'!$O$96="Model Default",'IV. LCOE, Baseline Energy Mix'!AU73,IF('II. Inputs, Baseline Energy Mix'!$O$96="User-defined, annually adjusted",'IV. LCOE, Baseline Energy Mix'!AU74,IF('II. Inputs, Baseline Energy Mix'!$O$96="Manual Entry",'IV. LCOE, Baseline Energy Mix'!AU76,AU75)))</f>
        <v>26.29065568265829</v>
      </c>
      <c r="AV72" s="1292">
        <f>IF('II. Inputs, Baseline Energy Mix'!$O$96="Model Default",'IV. LCOE, Baseline Energy Mix'!AV73,IF('II. Inputs, Baseline Energy Mix'!$O$96="User-defined, annually adjusted",'IV. LCOE, Baseline Energy Mix'!AV74,IF('II. Inputs, Baseline Energy Mix'!$O$96="Manual Entry",'IV. LCOE, Baseline Energy Mix'!AV76,AV75)))</f>
        <v>0</v>
      </c>
      <c r="AW72" s="1292">
        <f>IF('II. Inputs, Baseline Energy Mix'!$O$96="Model Default",'IV. LCOE, Baseline Energy Mix'!AW73,IF('II. Inputs, Baseline Energy Mix'!$O$96="User-defined, annually adjusted",'IV. LCOE, Baseline Energy Mix'!AW74,IF('II. Inputs, Baseline Energy Mix'!$O$96="Manual Entry",'IV. LCOE, Baseline Energy Mix'!AW76,AW75)))</f>
        <v>0</v>
      </c>
      <c r="AX72" s="1292">
        <f>IF('II. Inputs, Baseline Energy Mix'!$O$96="Model Default",'IV. LCOE, Baseline Energy Mix'!AX73,IF('II. Inputs, Baseline Energy Mix'!$O$96="User-defined, annually adjusted",'IV. LCOE, Baseline Energy Mix'!AX74,IF('II. Inputs, Baseline Energy Mix'!$O$96="Manual Entry",'IV. LCOE, Baseline Energy Mix'!AX76,AX75)))</f>
        <v>0</v>
      </c>
      <c r="AY72" s="1292">
        <f>IF('II. Inputs, Baseline Energy Mix'!$O$96="Model Default",'IV. LCOE, Baseline Energy Mix'!AY73,IF('II. Inputs, Baseline Energy Mix'!$O$96="User-defined, annually adjusted",'IV. LCOE, Baseline Energy Mix'!AY74,IF('II. Inputs, Baseline Energy Mix'!$O$96="Manual Entry",'IV. LCOE, Baseline Energy Mix'!AY76,AY75)))</f>
        <v>0</v>
      </c>
      <c r="AZ72" s="1292">
        <f>IF('II. Inputs, Baseline Energy Mix'!$O$96="Model Default",'IV. LCOE, Baseline Energy Mix'!AZ73,IF('II. Inputs, Baseline Energy Mix'!$O$96="User-defined, annually adjusted",'IV. LCOE, Baseline Energy Mix'!AZ74,IF('II. Inputs, Baseline Energy Mix'!$O$96="Manual Entry",'IV. LCOE, Baseline Energy Mix'!AZ76,AZ75)))</f>
        <v>0</v>
      </c>
      <c r="BA72" s="1292">
        <f>IF('II. Inputs, Baseline Energy Mix'!$O$96="Model Default",'IV. LCOE, Baseline Energy Mix'!BA73,IF('II. Inputs, Baseline Energy Mix'!$O$96="User-defined, annually adjusted",'IV. LCOE, Baseline Energy Mix'!BA74,IF('II. Inputs, Baseline Energy Mix'!$O$96="Manual Entry",'IV. LCOE, Baseline Energy Mix'!BA76,BA75)))</f>
        <v>0</v>
      </c>
      <c r="BB72" s="1292">
        <f>IF('II. Inputs, Baseline Energy Mix'!$O$96="Model Default",'IV. LCOE, Baseline Energy Mix'!BB73,IF('II. Inputs, Baseline Energy Mix'!$O$96="User-defined, annually adjusted",'IV. LCOE, Baseline Energy Mix'!BB74,IF('II. Inputs, Baseline Energy Mix'!$O$96="Manual Entry",'IV. LCOE, Baseline Energy Mix'!BB76,BB75)))</f>
        <v>0</v>
      </c>
      <c r="BC72" s="1292">
        <f>IF('II. Inputs, Baseline Energy Mix'!$O$96="Model Default",'IV. LCOE, Baseline Energy Mix'!BC73,IF('II. Inputs, Baseline Energy Mix'!$O$96="User-defined, annually adjusted",'IV. LCOE, Baseline Energy Mix'!BC74,IF('II. Inputs, Baseline Energy Mix'!$O$96="Manual Entry",'IV. LCOE, Baseline Energy Mix'!BC76,BC75)))</f>
        <v>0</v>
      </c>
      <c r="BD72" s="1292">
        <f>IF('II. Inputs, Baseline Energy Mix'!$O$96="Model Default",'IV. LCOE, Baseline Energy Mix'!BD73,IF('II. Inputs, Baseline Energy Mix'!$O$96="User-defined, annually adjusted",'IV. LCOE, Baseline Energy Mix'!BD74,IF('II. Inputs, Baseline Energy Mix'!$O$96="Manual Entry",'IV. LCOE, Baseline Energy Mix'!BD76,BD75)))</f>
        <v>0</v>
      </c>
      <c r="BE72" s="1293">
        <f>IF('II. Inputs, Baseline Energy Mix'!$O$96="Model Default",'IV. LCOE, Baseline Energy Mix'!BE73,IF('II. Inputs, Baseline Energy Mix'!$O$96="User-defined, annually adjusted",'IV. LCOE, Baseline Energy Mix'!BE74,IF('II. Inputs, Baseline Energy Mix'!$O$96="Manual Entry",'IV. LCOE, Baseline Energy Mix'!BE76,BE75)))</f>
        <v>0</v>
      </c>
    </row>
    <row r="73" spans="2:57" outlineLevel="1" x14ac:dyDescent="0.25">
      <c r="B73" s="253"/>
      <c r="C73" s="254" t="s">
        <v>159</v>
      </c>
      <c r="D73" s="254"/>
      <c r="E73" s="257"/>
      <c r="F73" s="257"/>
      <c r="G73" s="254"/>
      <c r="H73" s="1292">
        <f>H64*VLOOKUP('IV. LCOE, Baseline Energy Mix'!H$13,'VII. Additional Data'!$C$17:$V$66,4, FALSE)</f>
        <v>11.693231398016538</v>
      </c>
      <c r="I73" s="1292">
        <f>I64*VLOOKUP('IV. LCOE, Baseline Energy Mix'!I$13,'VII. Additional Data'!$C$17:$V$66,4, FALSE)</f>
        <v>11.826462796033075</v>
      </c>
      <c r="J73" s="1292">
        <f>J64*VLOOKUP('IV. LCOE, Baseline Energy Mix'!J$13,'VII. Additional Data'!$C$17:$V$66,4, FALSE)</f>
        <v>11.959694194049613</v>
      </c>
      <c r="K73" s="1292">
        <f>K64*VLOOKUP('IV. LCOE, Baseline Energy Mix'!K$13,'VII. Additional Data'!$C$17:$V$66,4, FALSE)</f>
        <v>12.09292559206615</v>
      </c>
      <c r="L73" s="1292">
        <f>L64*VLOOKUP('IV. LCOE, Baseline Energy Mix'!L$13,'VII. Additional Data'!$C$17:$V$66,4, FALSE)</f>
        <v>12.226156990082687</v>
      </c>
      <c r="M73" s="1292">
        <f>M64*VLOOKUP('IV. LCOE, Baseline Energy Mix'!M$13,'VII. Additional Data'!$C$17:$V$66,4, FALSE)</f>
        <v>12.359388388099225</v>
      </c>
      <c r="N73" s="1292">
        <f>N64*VLOOKUP('IV. LCOE, Baseline Energy Mix'!N$13,'VII. Additional Data'!$C$17:$V$66,4, FALSE)</f>
        <v>12.492619786115762</v>
      </c>
      <c r="O73" s="1292">
        <f>O64*VLOOKUP('IV. LCOE, Baseline Energy Mix'!O$13,'VII. Additional Data'!$C$17:$V$66,4, FALSE)</f>
        <v>12.6258511841323</v>
      </c>
      <c r="P73" s="1292">
        <f>P64*VLOOKUP('IV. LCOE, Baseline Energy Mix'!P$13,'VII. Additional Data'!$C$17:$V$66,4, FALSE)</f>
        <v>12.759082582148837</v>
      </c>
      <c r="Q73" s="1292">
        <f>Q64*VLOOKUP('IV. LCOE, Baseline Energy Mix'!Q$13,'VII. Additional Data'!$C$17:$V$66,4, FALSE)</f>
        <v>12.892313980165374</v>
      </c>
      <c r="R73" s="1292">
        <f>R64*VLOOKUP('IV. LCOE, Baseline Energy Mix'!R$13,'VII. Additional Data'!$C$17:$V$66,4, FALSE)</f>
        <v>13.025545378181912</v>
      </c>
      <c r="S73" s="1292">
        <f>S64*VLOOKUP('IV. LCOE, Baseline Energy Mix'!S$13,'VII. Additional Data'!$C$17:$V$66,4, FALSE)</f>
        <v>13.158776776198449</v>
      </c>
      <c r="T73" s="1292">
        <f>T64*VLOOKUP('IV. LCOE, Baseline Energy Mix'!T$13,'VII. Additional Data'!$C$17:$V$66,4, FALSE)</f>
        <v>13.292008174214986</v>
      </c>
      <c r="U73" s="1292">
        <f>U64*VLOOKUP('IV. LCOE, Baseline Energy Mix'!U$13,'VII. Additional Data'!$C$17:$V$66,4, FALSE)</f>
        <v>13.425239572231524</v>
      </c>
      <c r="V73" s="1292">
        <f>V64*VLOOKUP('IV. LCOE, Baseline Energy Mix'!V$13,'VII. Additional Data'!$C$17:$V$66,4, FALSE)</f>
        <v>13.558470970248061</v>
      </c>
      <c r="W73" s="1292">
        <f>W64*VLOOKUP('IV. LCOE, Baseline Energy Mix'!W$13,'VII. Additional Data'!$C$17:$V$66,4, FALSE)</f>
        <v>13.691702368264599</v>
      </c>
      <c r="X73" s="1292">
        <f>X64*VLOOKUP('IV. LCOE, Baseline Energy Mix'!X$13,'VII. Additional Data'!$C$17:$V$66,4, FALSE)</f>
        <v>13.824933766281136</v>
      </c>
      <c r="Y73" s="1292">
        <f>Y64*VLOOKUP('IV. LCOE, Baseline Energy Mix'!Y$13,'VII. Additional Data'!$C$17:$V$66,4, FALSE)</f>
        <v>13.958165164297673</v>
      </c>
      <c r="Z73" s="1292">
        <f>Z64*VLOOKUP('IV. LCOE, Baseline Energy Mix'!Z$13,'VII. Additional Data'!$C$17:$V$66,4, FALSE)</f>
        <v>14.091396562314211</v>
      </c>
      <c r="AA73" s="1292">
        <f>AA64*VLOOKUP('IV. LCOE, Baseline Energy Mix'!AA$13,'VII. Additional Data'!$C$17:$V$66,4, FALSE)</f>
        <v>14.224627960330748</v>
      </c>
      <c r="AB73" s="1292">
        <f>AB64*VLOOKUP('IV. LCOE, Baseline Energy Mix'!AB$13,'VII. Additional Data'!$C$17:$V$66,4, FALSE)</f>
        <v>14.827929346447126</v>
      </c>
      <c r="AC73" s="1292">
        <f>AC64*VLOOKUP('IV. LCOE, Baseline Energy Mix'!AC$13,'VII. Additional Data'!$C$17:$V$66,4, FALSE)</f>
        <v>15.431230732563503</v>
      </c>
      <c r="AD73" s="1292">
        <f>AD64*VLOOKUP('IV. LCOE, Baseline Energy Mix'!AD$13,'VII. Additional Data'!$C$17:$V$66,4, FALSE)</f>
        <v>16.034532118679877</v>
      </c>
      <c r="AE73" s="1292">
        <f>AE64*VLOOKUP('IV. LCOE, Baseline Energy Mix'!AE$13,'VII. Additional Data'!$C$17:$V$66,4, FALSE)</f>
        <v>16.637833504796255</v>
      </c>
      <c r="AF73" s="1292">
        <f>AF64*VLOOKUP('IV. LCOE, Baseline Energy Mix'!AF$13,'VII. Additional Data'!$C$17:$V$66,4, FALSE)</f>
        <v>17.241134890912633</v>
      </c>
      <c r="AG73" s="1292">
        <f>AG64*VLOOKUP('IV. LCOE, Baseline Energy Mix'!AG$13,'VII. Additional Data'!$C$17:$V$66,4, FALSE)</f>
        <v>17.844436277029011</v>
      </c>
      <c r="AH73" s="1292">
        <f>AH64*VLOOKUP('IV. LCOE, Baseline Energy Mix'!AH$13,'VII. Additional Data'!$C$17:$V$66,4, FALSE)</f>
        <v>18.447737663145389</v>
      </c>
      <c r="AI73" s="1292">
        <f>AI64*VLOOKUP('IV. LCOE, Baseline Energy Mix'!AI$13,'VII. Additional Data'!$C$17:$V$66,4, FALSE)</f>
        <v>19.051039049261767</v>
      </c>
      <c r="AJ73" s="1292">
        <f>AJ64*VLOOKUP('IV. LCOE, Baseline Energy Mix'!AJ$13,'VII. Additional Data'!$C$17:$V$66,4, FALSE)</f>
        <v>19.654340435378145</v>
      </c>
      <c r="AK73" s="1292">
        <f>AK64*VLOOKUP('IV. LCOE, Baseline Energy Mix'!AK$13,'VII. Additional Data'!$C$17:$V$66,4, FALSE)</f>
        <v>20.257641821494516</v>
      </c>
      <c r="AL73" s="1292">
        <f>AL64*VLOOKUP('IV. LCOE, Baseline Energy Mix'!AL$13,'VII. Additional Data'!$C$17:$V$66,4, FALSE)</f>
        <v>20.860943207610894</v>
      </c>
      <c r="AM73" s="1292">
        <f>AM64*VLOOKUP('IV. LCOE, Baseline Energy Mix'!AM$13,'VII. Additional Data'!$C$17:$V$66,4, FALSE)</f>
        <v>21.464244593727273</v>
      </c>
      <c r="AN73" s="1292">
        <f>AN64*VLOOKUP('IV. LCOE, Baseline Energy Mix'!AN$13,'VII. Additional Data'!$C$17:$V$66,4, FALSE)</f>
        <v>22.067545979843651</v>
      </c>
      <c r="AO73" s="1292">
        <f>AO64*VLOOKUP('IV. LCOE, Baseline Energy Mix'!AO$13,'VII. Additional Data'!$C$17:$V$66,4, FALSE)</f>
        <v>22.670847365960029</v>
      </c>
      <c r="AP73" s="1292">
        <f>AP64*VLOOKUP('IV. LCOE, Baseline Energy Mix'!AP$13,'VII. Additional Data'!$C$17:$V$66,4, FALSE)</f>
        <v>23.274148752076407</v>
      </c>
      <c r="AQ73" s="1292">
        <f>AQ64*VLOOKUP('IV. LCOE, Baseline Energy Mix'!AQ$13,'VII. Additional Data'!$C$17:$V$66,4, FALSE)</f>
        <v>23.877450138192785</v>
      </c>
      <c r="AR73" s="1292">
        <f>AR64*VLOOKUP('IV. LCOE, Baseline Energy Mix'!AR$13,'VII. Additional Data'!$C$17:$V$66,4, FALSE)</f>
        <v>24.480751524309163</v>
      </c>
      <c r="AS73" s="1292">
        <f>AS64*VLOOKUP('IV. LCOE, Baseline Energy Mix'!AS$13,'VII. Additional Data'!$C$17:$V$66,4, FALSE)</f>
        <v>25.084052910425534</v>
      </c>
      <c r="AT73" s="1292">
        <f>AT64*VLOOKUP('IV. LCOE, Baseline Energy Mix'!AT$13,'VII. Additional Data'!$C$17:$V$66,4, FALSE)</f>
        <v>25.687354296541912</v>
      </c>
      <c r="AU73" s="1292">
        <f>AU64*VLOOKUP('IV. LCOE, Baseline Energy Mix'!AU$13,'VII. Additional Data'!$C$17:$V$66,4, FALSE)</f>
        <v>26.29065568265829</v>
      </c>
      <c r="AV73" s="1292">
        <f>AV64*VLOOKUP('IV. LCOE, Baseline Energy Mix'!AV$13,'VII. Additional Data'!$C$17:$V$66,4, FALSE)</f>
        <v>0</v>
      </c>
      <c r="AW73" s="1292">
        <f>AW64*VLOOKUP('IV. LCOE, Baseline Energy Mix'!AW$13,'VII. Additional Data'!$C$17:$V$66,4, FALSE)</f>
        <v>0</v>
      </c>
      <c r="AX73" s="1292">
        <f>AX64*VLOOKUP('IV. LCOE, Baseline Energy Mix'!AX$13,'VII. Additional Data'!$C$17:$V$66,4, FALSE)</f>
        <v>0</v>
      </c>
      <c r="AY73" s="1292">
        <f>AY64*VLOOKUP('IV. LCOE, Baseline Energy Mix'!AY$13,'VII. Additional Data'!$C$17:$V$66,4, FALSE)</f>
        <v>0</v>
      </c>
      <c r="AZ73" s="1292">
        <f>AZ64*VLOOKUP('IV. LCOE, Baseline Energy Mix'!AZ$13,'VII. Additional Data'!$C$17:$V$66,4, FALSE)</f>
        <v>0</v>
      </c>
      <c r="BA73" s="1292">
        <f>BA64*VLOOKUP('IV. LCOE, Baseline Energy Mix'!BA$13,'VII. Additional Data'!$C$17:$V$66,4, FALSE)</f>
        <v>0</v>
      </c>
      <c r="BB73" s="1292">
        <f>BB64*VLOOKUP('IV. LCOE, Baseline Energy Mix'!BB$13,'VII. Additional Data'!$C$17:$V$66,4, FALSE)</f>
        <v>0</v>
      </c>
      <c r="BC73" s="1292">
        <f>BC64*VLOOKUP('IV. LCOE, Baseline Energy Mix'!BC$13,'VII. Additional Data'!$C$17:$V$66,4, FALSE)</f>
        <v>0</v>
      </c>
      <c r="BD73" s="1292">
        <f>BD64*VLOOKUP('IV. LCOE, Baseline Energy Mix'!BD$13,'VII. Additional Data'!$C$17:$V$66,4, FALSE)</f>
        <v>0</v>
      </c>
      <c r="BE73" s="1293">
        <f>BE64*VLOOKUP('IV. LCOE, Baseline Energy Mix'!BE$13,'VII. Additional Data'!$C$17:$V$66,4, FALSE)</f>
        <v>0</v>
      </c>
    </row>
    <row r="74" spans="2:57" outlineLevel="1" x14ac:dyDescent="0.25">
      <c r="B74" s="253"/>
      <c r="C74" s="254" t="s">
        <v>160</v>
      </c>
      <c r="D74" s="254"/>
      <c r="E74" s="257"/>
      <c r="F74" s="257"/>
      <c r="G74" s="254"/>
      <c r="H74" s="1292">
        <f xml:space="preserve"> H64*'II. Inputs, Baseline Energy Mix'!$O$98*(1+'II. Inputs, Baseline Energy Mix'!$O$99)^('IV. LCOE, Baseline Energy Mix'!H$13-1)</f>
        <v>0</v>
      </c>
      <c r="I74" s="1292">
        <f xml:space="preserve"> I64*'II. Inputs, Baseline Energy Mix'!$O$98*(1+'II. Inputs, Baseline Energy Mix'!$O$99)^('IV. LCOE, Baseline Energy Mix'!I$13-1)</f>
        <v>0</v>
      </c>
      <c r="J74" s="1292">
        <f xml:space="preserve"> J64*'II. Inputs, Baseline Energy Mix'!$O$98*(1+'II. Inputs, Baseline Energy Mix'!$O$99)^('IV. LCOE, Baseline Energy Mix'!J$13-1)</f>
        <v>0</v>
      </c>
      <c r="K74" s="1292">
        <f xml:space="preserve"> K64*'II. Inputs, Baseline Energy Mix'!$O$98*(1+'II. Inputs, Baseline Energy Mix'!$O$99)^('IV. LCOE, Baseline Energy Mix'!K$13-1)</f>
        <v>0</v>
      </c>
      <c r="L74" s="1292">
        <f xml:space="preserve"> L64*'II. Inputs, Baseline Energy Mix'!$O$98*(1+'II. Inputs, Baseline Energy Mix'!$O$99)^('IV. LCOE, Baseline Energy Mix'!L$13-1)</f>
        <v>0</v>
      </c>
      <c r="M74" s="1292">
        <f xml:space="preserve"> M64*'II. Inputs, Baseline Energy Mix'!$O$98*(1+'II. Inputs, Baseline Energy Mix'!$O$99)^('IV. LCOE, Baseline Energy Mix'!M$13-1)</f>
        <v>0</v>
      </c>
      <c r="N74" s="1292">
        <f xml:space="preserve"> N64*'II. Inputs, Baseline Energy Mix'!$O$98*(1+'II. Inputs, Baseline Energy Mix'!$O$99)^('IV. LCOE, Baseline Energy Mix'!N$13-1)</f>
        <v>0</v>
      </c>
      <c r="O74" s="1292">
        <f xml:space="preserve"> O64*'II. Inputs, Baseline Energy Mix'!$O$98*(1+'II. Inputs, Baseline Energy Mix'!$O$99)^('IV. LCOE, Baseline Energy Mix'!O$13-1)</f>
        <v>0</v>
      </c>
      <c r="P74" s="1292">
        <f xml:space="preserve"> P64*'II. Inputs, Baseline Energy Mix'!$O$98*(1+'II. Inputs, Baseline Energy Mix'!$O$99)^('IV. LCOE, Baseline Energy Mix'!P$13-1)</f>
        <v>0</v>
      </c>
      <c r="Q74" s="1292">
        <f xml:space="preserve"> Q64*'II. Inputs, Baseline Energy Mix'!$O$98*(1+'II. Inputs, Baseline Energy Mix'!$O$99)^('IV. LCOE, Baseline Energy Mix'!Q$13-1)</f>
        <v>0</v>
      </c>
      <c r="R74" s="1292">
        <f xml:space="preserve"> R64*'II. Inputs, Baseline Energy Mix'!$O$98*(1+'II. Inputs, Baseline Energy Mix'!$O$99)^('IV. LCOE, Baseline Energy Mix'!R$13-1)</f>
        <v>0</v>
      </c>
      <c r="S74" s="1292">
        <f xml:space="preserve"> S64*'II. Inputs, Baseline Energy Mix'!$O$98*(1+'II. Inputs, Baseline Energy Mix'!$O$99)^('IV. LCOE, Baseline Energy Mix'!S$13-1)</f>
        <v>0</v>
      </c>
      <c r="T74" s="1292">
        <f xml:space="preserve"> T64*'II. Inputs, Baseline Energy Mix'!$O$98*(1+'II. Inputs, Baseline Energy Mix'!$O$99)^('IV. LCOE, Baseline Energy Mix'!T$13-1)</f>
        <v>0</v>
      </c>
      <c r="U74" s="1292">
        <f xml:space="preserve"> U64*'II. Inputs, Baseline Energy Mix'!$O$98*(1+'II. Inputs, Baseline Energy Mix'!$O$99)^('IV. LCOE, Baseline Energy Mix'!U$13-1)</f>
        <v>0</v>
      </c>
      <c r="V74" s="1292">
        <f xml:space="preserve"> V64*'II. Inputs, Baseline Energy Mix'!$O$98*(1+'II. Inputs, Baseline Energy Mix'!$O$99)^('IV. LCOE, Baseline Energy Mix'!V$13-1)</f>
        <v>0</v>
      </c>
      <c r="W74" s="1292">
        <f xml:space="preserve"> W64*'II. Inputs, Baseline Energy Mix'!$O$98*(1+'II. Inputs, Baseline Energy Mix'!$O$99)^('IV. LCOE, Baseline Energy Mix'!W$13-1)</f>
        <v>0</v>
      </c>
      <c r="X74" s="1292">
        <f xml:space="preserve"> X64*'II. Inputs, Baseline Energy Mix'!$O$98*(1+'II. Inputs, Baseline Energy Mix'!$O$99)^('IV. LCOE, Baseline Energy Mix'!X$13-1)</f>
        <v>0</v>
      </c>
      <c r="Y74" s="1292">
        <f xml:space="preserve"> Y64*'II. Inputs, Baseline Energy Mix'!$O$98*(1+'II. Inputs, Baseline Energy Mix'!$O$99)^('IV. LCOE, Baseline Energy Mix'!Y$13-1)</f>
        <v>0</v>
      </c>
      <c r="Z74" s="1292">
        <f xml:space="preserve"> Z64*'II. Inputs, Baseline Energy Mix'!$O$98*(1+'II. Inputs, Baseline Energy Mix'!$O$99)^('IV. LCOE, Baseline Energy Mix'!Z$13-1)</f>
        <v>0</v>
      </c>
      <c r="AA74" s="1292">
        <f xml:space="preserve"> AA64*'II. Inputs, Baseline Energy Mix'!$O$98*(1+'II. Inputs, Baseline Energy Mix'!$O$99)^('IV. LCOE, Baseline Energy Mix'!AA$13-1)</f>
        <v>0</v>
      </c>
      <c r="AB74" s="1292">
        <f xml:space="preserve"> AB64*'II. Inputs, Baseline Energy Mix'!$O$98*(1+'II. Inputs, Baseline Energy Mix'!$O$99)^('IV. LCOE, Baseline Energy Mix'!AB$13-1)</f>
        <v>0</v>
      </c>
      <c r="AC74" s="1292">
        <f xml:space="preserve"> AC64*'II. Inputs, Baseline Energy Mix'!$O$98*(1+'II. Inputs, Baseline Energy Mix'!$O$99)^('IV. LCOE, Baseline Energy Mix'!AC$13-1)</f>
        <v>0</v>
      </c>
      <c r="AD74" s="1292">
        <f xml:space="preserve"> AD64*'II. Inputs, Baseline Energy Mix'!$O$98*(1+'II. Inputs, Baseline Energy Mix'!$O$99)^('IV. LCOE, Baseline Energy Mix'!AD$13-1)</f>
        <v>0</v>
      </c>
      <c r="AE74" s="1292">
        <f xml:space="preserve"> AE64*'II. Inputs, Baseline Energy Mix'!$O$98*(1+'II. Inputs, Baseline Energy Mix'!$O$99)^('IV. LCOE, Baseline Energy Mix'!AE$13-1)</f>
        <v>0</v>
      </c>
      <c r="AF74" s="1292">
        <f xml:space="preserve"> AF64*'II. Inputs, Baseline Energy Mix'!$O$98*(1+'II. Inputs, Baseline Energy Mix'!$O$99)^('IV. LCOE, Baseline Energy Mix'!AF$13-1)</f>
        <v>0</v>
      </c>
      <c r="AG74" s="1292">
        <f xml:space="preserve"> AG64*'II. Inputs, Baseline Energy Mix'!$O$98*(1+'II. Inputs, Baseline Energy Mix'!$O$99)^('IV. LCOE, Baseline Energy Mix'!AG$13-1)</f>
        <v>0</v>
      </c>
      <c r="AH74" s="1292">
        <f xml:space="preserve"> AH64*'II. Inputs, Baseline Energy Mix'!$O$98*(1+'II. Inputs, Baseline Energy Mix'!$O$99)^('IV. LCOE, Baseline Energy Mix'!AH$13-1)</f>
        <v>0</v>
      </c>
      <c r="AI74" s="1292">
        <f xml:space="preserve"> AI64*'II. Inputs, Baseline Energy Mix'!$O$98*(1+'II. Inputs, Baseline Energy Mix'!$O$99)^('IV. LCOE, Baseline Energy Mix'!AI$13-1)</f>
        <v>0</v>
      </c>
      <c r="AJ74" s="1292">
        <f xml:space="preserve"> AJ64*'II. Inputs, Baseline Energy Mix'!$O$98*(1+'II. Inputs, Baseline Energy Mix'!$O$99)^('IV. LCOE, Baseline Energy Mix'!AJ$13-1)</f>
        <v>0</v>
      </c>
      <c r="AK74" s="1292">
        <f xml:space="preserve"> AK64*'II. Inputs, Baseline Energy Mix'!$O$98*(1+'II. Inputs, Baseline Energy Mix'!$O$99)^('IV. LCOE, Baseline Energy Mix'!AK$13-1)</f>
        <v>0</v>
      </c>
      <c r="AL74" s="1292">
        <f xml:space="preserve"> AL64*'II. Inputs, Baseline Energy Mix'!$O$98*(1+'II. Inputs, Baseline Energy Mix'!$O$99)^('IV. LCOE, Baseline Energy Mix'!AL$13-1)</f>
        <v>0</v>
      </c>
      <c r="AM74" s="1292">
        <f xml:space="preserve"> AM64*'II. Inputs, Baseline Energy Mix'!$O$98*(1+'II. Inputs, Baseline Energy Mix'!$O$99)^('IV. LCOE, Baseline Energy Mix'!AM$13-1)</f>
        <v>0</v>
      </c>
      <c r="AN74" s="1292">
        <f xml:space="preserve"> AN64*'II. Inputs, Baseline Energy Mix'!$O$98*(1+'II. Inputs, Baseline Energy Mix'!$O$99)^('IV. LCOE, Baseline Energy Mix'!AN$13-1)</f>
        <v>0</v>
      </c>
      <c r="AO74" s="1292">
        <f xml:space="preserve"> AO64*'II. Inputs, Baseline Energy Mix'!$O$98*(1+'II. Inputs, Baseline Energy Mix'!$O$99)^('IV. LCOE, Baseline Energy Mix'!AO$13-1)</f>
        <v>0</v>
      </c>
      <c r="AP74" s="1292">
        <f xml:space="preserve"> AP64*'II. Inputs, Baseline Energy Mix'!$O$98*(1+'II. Inputs, Baseline Energy Mix'!$O$99)^('IV. LCOE, Baseline Energy Mix'!AP$13-1)</f>
        <v>0</v>
      </c>
      <c r="AQ74" s="1292">
        <f xml:space="preserve"> AQ64*'II. Inputs, Baseline Energy Mix'!$O$98*(1+'II. Inputs, Baseline Energy Mix'!$O$99)^('IV. LCOE, Baseline Energy Mix'!AQ$13-1)</f>
        <v>0</v>
      </c>
      <c r="AR74" s="1292">
        <f xml:space="preserve"> AR64*'II. Inputs, Baseline Energy Mix'!$O$98*(1+'II. Inputs, Baseline Energy Mix'!$O$99)^('IV. LCOE, Baseline Energy Mix'!AR$13-1)</f>
        <v>0</v>
      </c>
      <c r="AS74" s="1292">
        <f xml:space="preserve"> AS64*'II. Inputs, Baseline Energy Mix'!$O$98*(1+'II. Inputs, Baseline Energy Mix'!$O$99)^('IV. LCOE, Baseline Energy Mix'!AS$13-1)</f>
        <v>0</v>
      </c>
      <c r="AT74" s="1292">
        <f xml:space="preserve"> AT64*'II. Inputs, Baseline Energy Mix'!$O$98*(1+'II. Inputs, Baseline Energy Mix'!$O$99)^('IV. LCOE, Baseline Energy Mix'!AT$13-1)</f>
        <v>0</v>
      </c>
      <c r="AU74" s="1292">
        <f xml:space="preserve"> AU64*'II. Inputs, Baseline Energy Mix'!$O$98*(1+'II. Inputs, Baseline Energy Mix'!$O$99)^('IV. LCOE, Baseline Energy Mix'!AU$13-1)</f>
        <v>0</v>
      </c>
      <c r="AV74" s="1292">
        <f xml:space="preserve"> AV64*'II. Inputs, Baseline Energy Mix'!$O$98*(1+'II. Inputs, Baseline Energy Mix'!$O$99)^('IV. LCOE, Baseline Energy Mix'!AV$13-1)</f>
        <v>0</v>
      </c>
      <c r="AW74" s="1292">
        <f xml:space="preserve"> AW64*'II. Inputs, Baseline Energy Mix'!$O$98*(1+'II. Inputs, Baseline Energy Mix'!$O$99)^('IV. LCOE, Baseline Energy Mix'!AW$13-1)</f>
        <v>0</v>
      </c>
      <c r="AX74" s="1292">
        <f xml:space="preserve"> AX64*'II. Inputs, Baseline Energy Mix'!$O$98*(1+'II. Inputs, Baseline Energy Mix'!$O$99)^('IV. LCOE, Baseline Energy Mix'!AX$13-1)</f>
        <v>0</v>
      </c>
      <c r="AY74" s="1292">
        <f xml:space="preserve"> AY64*'II. Inputs, Baseline Energy Mix'!$O$98*(1+'II. Inputs, Baseline Energy Mix'!$O$99)^('IV. LCOE, Baseline Energy Mix'!AY$13-1)</f>
        <v>0</v>
      </c>
      <c r="AZ74" s="1292">
        <f xml:space="preserve"> AZ64*'II. Inputs, Baseline Energy Mix'!$O$98*(1+'II. Inputs, Baseline Energy Mix'!$O$99)^('IV. LCOE, Baseline Energy Mix'!AZ$13-1)</f>
        <v>0</v>
      </c>
      <c r="BA74" s="1292">
        <f xml:space="preserve"> BA64*'II. Inputs, Baseline Energy Mix'!$O$98*(1+'II. Inputs, Baseline Energy Mix'!$O$99)^('IV. LCOE, Baseline Energy Mix'!BA$13-1)</f>
        <v>0</v>
      </c>
      <c r="BB74" s="1292">
        <f xml:space="preserve"> BB64*'II. Inputs, Baseline Energy Mix'!$O$98*(1+'II. Inputs, Baseline Energy Mix'!$O$99)^('IV. LCOE, Baseline Energy Mix'!BB$13-1)</f>
        <v>0</v>
      </c>
      <c r="BC74" s="1292">
        <f xml:space="preserve"> BC64*'II. Inputs, Baseline Energy Mix'!$O$98*(1+'II. Inputs, Baseline Energy Mix'!$O$99)^('IV. LCOE, Baseline Energy Mix'!BC$13-1)</f>
        <v>0</v>
      </c>
      <c r="BD74" s="1292">
        <f xml:space="preserve"> BD64*'II. Inputs, Baseline Energy Mix'!$O$98*(1+'II. Inputs, Baseline Energy Mix'!$O$99)^('IV. LCOE, Baseline Energy Mix'!BD$13-1)</f>
        <v>0</v>
      </c>
      <c r="BE74" s="1293">
        <f xml:space="preserve"> BE64*'II. Inputs, Baseline Energy Mix'!$O$98*(1+'II. Inputs, Baseline Energy Mix'!$O$99)^('IV. LCOE, Baseline Energy Mix'!BE$13-1)</f>
        <v>0</v>
      </c>
    </row>
    <row r="75" spans="2:57" outlineLevel="1" x14ac:dyDescent="0.25">
      <c r="B75" s="253"/>
      <c r="C75" s="254" t="s">
        <v>161</v>
      </c>
      <c r="D75" s="254"/>
      <c r="E75" s="257"/>
      <c r="F75" s="257"/>
      <c r="G75" s="254"/>
      <c r="H75" s="1292">
        <f xml:space="preserve"> H64*VLOOKUP('IV. LCOE, Baseline Energy Mix'!H$13,'VII. Additional Data'!$C$17:$V$66,10, FALSE)</f>
        <v>0</v>
      </c>
      <c r="I75" s="1292">
        <f xml:space="preserve"> I64*VLOOKUP('IV. LCOE, Baseline Energy Mix'!I$13,'VII. Additional Data'!$C$17:$V$66,10, FALSE)</f>
        <v>0</v>
      </c>
      <c r="J75" s="1292">
        <f xml:space="preserve"> J64*VLOOKUP('IV. LCOE, Baseline Energy Mix'!J$13,'VII. Additional Data'!$C$17:$V$66,10, FALSE)</f>
        <v>0</v>
      </c>
      <c r="K75" s="1292">
        <f xml:space="preserve"> K64*VLOOKUP('IV. LCOE, Baseline Energy Mix'!K$13,'VII. Additional Data'!$C$17:$V$66,10, FALSE)</f>
        <v>0</v>
      </c>
      <c r="L75" s="1292">
        <f xml:space="preserve"> L64*VLOOKUP('IV. LCOE, Baseline Energy Mix'!L$13,'VII. Additional Data'!$C$17:$V$66,10, FALSE)</f>
        <v>0</v>
      </c>
      <c r="M75" s="1292">
        <f xml:space="preserve"> M64*VLOOKUP('IV. LCOE, Baseline Energy Mix'!M$13,'VII. Additional Data'!$C$17:$V$66,10, FALSE)</f>
        <v>0</v>
      </c>
      <c r="N75" s="1292">
        <f xml:space="preserve"> N64*VLOOKUP('IV. LCOE, Baseline Energy Mix'!N$13,'VII. Additional Data'!$C$17:$V$66,10, FALSE)</f>
        <v>0</v>
      </c>
      <c r="O75" s="1292">
        <f xml:space="preserve"> O64*VLOOKUP('IV. LCOE, Baseline Energy Mix'!O$13,'VII. Additional Data'!$C$17:$V$66,10, FALSE)</f>
        <v>0</v>
      </c>
      <c r="P75" s="1292">
        <f xml:space="preserve"> P64*VLOOKUP('IV. LCOE, Baseline Energy Mix'!P$13,'VII. Additional Data'!$C$17:$V$66,10, FALSE)</f>
        <v>0</v>
      </c>
      <c r="Q75" s="1292">
        <f xml:space="preserve"> Q64*VLOOKUP('IV. LCOE, Baseline Energy Mix'!Q$13,'VII. Additional Data'!$C$17:$V$66,10, FALSE)</f>
        <v>0</v>
      </c>
      <c r="R75" s="1292">
        <f xml:space="preserve"> R64*VLOOKUP('IV. LCOE, Baseline Energy Mix'!R$13,'VII. Additional Data'!$C$17:$V$66,10, FALSE)</f>
        <v>0</v>
      </c>
      <c r="S75" s="1292">
        <f xml:space="preserve"> S64*VLOOKUP('IV. LCOE, Baseline Energy Mix'!S$13,'VII. Additional Data'!$C$17:$V$66,10, FALSE)</f>
        <v>0</v>
      </c>
      <c r="T75" s="1292">
        <f xml:space="preserve"> T64*VLOOKUP('IV. LCOE, Baseline Energy Mix'!T$13,'VII. Additional Data'!$C$17:$V$66,10, FALSE)</f>
        <v>0</v>
      </c>
      <c r="U75" s="1292">
        <f xml:space="preserve"> U64*VLOOKUP('IV. LCOE, Baseline Energy Mix'!U$13,'VII. Additional Data'!$C$17:$V$66,10, FALSE)</f>
        <v>0</v>
      </c>
      <c r="V75" s="1292">
        <f xml:space="preserve"> V64*VLOOKUP('IV. LCOE, Baseline Energy Mix'!V$13,'VII. Additional Data'!$C$17:$V$66,10, FALSE)</f>
        <v>0</v>
      </c>
      <c r="W75" s="1292">
        <f xml:space="preserve"> W64*VLOOKUP('IV. LCOE, Baseline Energy Mix'!W$13,'VII. Additional Data'!$C$17:$V$66,10, FALSE)</f>
        <v>0</v>
      </c>
      <c r="X75" s="1292">
        <f xml:space="preserve"> X64*VLOOKUP('IV. LCOE, Baseline Energy Mix'!X$13,'VII. Additional Data'!$C$17:$V$66,10, FALSE)</f>
        <v>0</v>
      </c>
      <c r="Y75" s="1292">
        <f xml:space="preserve"> Y64*VLOOKUP('IV. LCOE, Baseline Energy Mix'!Y$13,'VII. Additional Data'!$C$17:$V$66,10, FALSE)</f>
        <v>0</v>
      </c>
      <c r="Z75" s="1292">
        <f xml:space="preserve"> Z64*VLOOKUP('IV. LCOE, Baseline Energy Mix'!Z$13,'VII. Additional Data'!$C$17:$V$66,10, FALSE)</f>
        <v>0</v>
      </c>
      <c r="AA75" s="1292">
        <f xml:space="preserve"> AA64*VLOOKUP('IV. LCOE, Baseline Energy Mix'!AA$13,'VII. Additional Data'!$C$17:$V$66,10, FALSE)</f>
        <v>0</v>
      </c>
      <c r="AB75" s="1292">
        <f xml:space="preserve"> AB64*VLOOKUP('IV. LCOE, Baseline Energy Mix'!AB$13,'VII. Additional Data'!$C$17:$V$66,10, FALSE)</f>
        <v>0</v>
      </c>
      <c r="AC75" s="1292">
        <f xml:space="preserve"> AC64*VLOOKUP('IV. LCOE, Baseline Energy Mix'!AC$13,'VII. Additional Data'!$C$17:$V$66,10, FALSE)</f>
        <v>0</v>
      </c>
      <c r="AD75" s="1292">
        <f xml:space="preserve"> AD64*VLOOKUP('IV. LCOE, Baseline Energy Mix'!AD$13,'VII. Additional Data'!$C$17:$V$66,10, FALSE)</f>
        <v>0</v>
      </c>
      <c r="AE75" s="1292">
        <f xml:space="preserve"> AE64*VLOOKUP('IV. LCOE, Baseline Energy Mix'!AE$13,'VII. Additional Data'!$C$17:$V$66,10, FALSE)</f>
        <v>0</v>
      </c>
      <c r="AF75" s="1292">
        <f xml:space="preserve"> AF64*VLOOKUP('IV. LCOE, Baseline Energy Mix'!AF$13,'VII. Additional Data'!$C$17:$V$66,10, FALSE)</f>
        <v>0</v>
      </c>
      <c r="AG75" s="1292">
        <f xml:space="preserve"> AG64*VLOOKUP('IV. LCOE, Baseline Energy Mix'!AG$13,'VII. Additional Data'!$C$17:$V$66,10, FALSE)</f>
        <v>0</v>
      </c>
      <c r="AH75" s="1292">
        <f xml:space="preserve"> AH64*VLOOKUP('IV. LCOE, Baseline Energy Mix'!AH$13,'VII. Additional Data'!$C$17:$V$66,10, FALSE)</f>
        <v>0</v>
      </c>
      <c r="AI75" s="1292">
        <f xml:space="preserve"> AI64*VLOOKUP('IV. LCOE, Baseline Energy Mix'!AI$13,'VII. Additional Data'!$C$17:$V$66,10, FALSE)</f>
        <v>0</v>
      </c>
      <c r="AJ75" s="1292">
        <f xml:space="preserve"> AJ64*VLOOKUP('IV. LCOE, Baseline Energy Mix'!AJ$13,'VII. Additional Data'!$C$17:$V$66,10, FALSE)</f>
        <v>0</v>
      </c>
      <c r="AK75" s="1292">
        <f xml:space="preserve"> AK64*VLOOKUP('IV. LCOE, Baseline Energy Mix'!AK$13,'VII. Additional Data'!$C$17:$V$66,10, FALSE)</f>
        <v>0</v>
      </c>
      <c r="AL75" s="1292">
        <f xml:space="preserve"> AL64*VLOOKUP('IV. LCOE, Baseline Energy Mix'!AL$13,'VII. Additional Data'!$C$17:$V$66,10, FALSE)</f>
        <v>0</v>
      </c>
      <c r="AM75" s="1292">
        <f xml:space="preserve"> AM64*VLOOKUP('IV. LCOE, Baseline Energy Mix'!AM$13,'VII. Additional Data'!$C$17:$V$66,10, FALSE)</f>
        <v>0</v>
      </c>
      <c r="AN75" s="1292">
        <f xml:space="preserve"> AN64*VLOOKUP('IV. LCOE, Baseline Energy Mix'!AN$13,'VII. Additional Data'!$C$17:$V$66,10, FALSE)</f>
        <v>0</v>
      </c>
      <c r="AO75" s="1292">
        <f xml:space="preserve"> AO64*VLOOKUP('IV. LCOE, Baseline Energy Mix'!AO$13,'VII. Additional Data'!$C$17:$V$66,10, FALSE)</f>
        <v>0</v>
      </c>
      <c r="AP75" s="1292">
        <f xml:space="preserve"> AP64*VLOOKUP('IV. LCOE, Baseline Energy Mix'!AP$13,'VII. Additional Data'!$C$17:$V$66,10, FALSE)</f>
        <v>0</v>
      </c>
      <c r="AQ75" s="1292">
        <f xml:space="preserve"> AQ64*VLOOKUP('IV. LCOE, Baseline Energy Mix'!AQ$13,'VII. Additional Data'!$C$17:$V$66,10, FALSE)</f>
        <v>0</v>
      </c>
      <c r="AR75" s="1292">
        <f xml:space="preserve"> AR64*VLOOKUP('IV. LCOE, Baseline Energy Mix'!AR$13,'VII. Additional Data'!$C$17:$V$66,10, FALSE)</f>
        <v>0</v>
      </c>
      <c r="AS75" s="1292">
        <f xml:space="preserve"> AS64*VLOOKUP('IV. LCOE, Baseline Energy Mix'!AS$13,'VII. Additional Data'!$C$17:$V$66,10, FALSE)</f>
        <v>0</v>
      </c>
      <c r="AT75" s="1292">
        <f xml:space="preserve"> AT64*VLOOKUP('IV. LCOE, Baseline Energy Mix'!AT$13,'VII. Additional Data'!$C$17:$V$66,10, FALSE)</f>
        <v>0</v>
      </c>
      <c r="AU75" s="1292">
        <f xml:space="preserve"> AU64*VLOOKUP('IV. LCOE, Baseline Energy Mix'!AU$13,'VII. Additional Data'!$C$17:$V$66,10, FALSE)</f>
        <v>0</v>
      </c>
      <c r="AV75" s="1292">
        <f xml:space="preserve"> AV64*VLOOKUP('IV. LCOE, Baseline Energy Mix'!AV$13,'VII. Additional Data'!$C$17:$V$66,10, FALSE)</f>
        <v>0</v>
      </c>
      <c r="AW75" s="1292">
        <f xml:space="preserve"> AW64*VLOOKUP('IV. LCOE, Baseline Energy Mix'!AW$13,'VII. Additional Data'!$C$17:$V$66,10, FALSE)</f>
        <v>0</v>
      </c>
      <c r="AX75" s="1292">
        <f xml:space="preserve"> AX64*VLOOKUP('IV. LCOE, Baseline Energy Mix'!AX$13,'VII. Additional Data'!$C$17:$V$66,10, FALSE)</f>
        <v>0</v>
      </c>
      <c r="AY75" s="1292">
        <f xml:space="preserve"> AY64*VLOOKUP('IV. LCOE, Baseline Energy Mix'!AY$13,'VII. Additional Data'!$C$17:$V$66,10, FALSE)</f>
        <v>0</v>
      </c>
      <c r="AZ75" s="1292">
        <f xml:space="preserve"> AZ64*VLOOKUP('IV. LCOE, Baseline Energy Mix'!AZ$13,'VII. Additional Data'!$C$17:$V$66,10, FALSE)</f>
        <v>0</v>
      </c>
      <c r="BA75" s="1292">
        <f xml:space="preserve"> BA64*VLOOKUP('IV. LCOE, Baseline Energy Mix'!BA$13,'VII. Additional Data'!$C$17:$V$66,10, FALSE)</f>
        <v>0</v>
      </c>
      <c r="BB75" s="1292">
        <f xml:space="preserve"> BB64*VLOOKUP('IV. LCOE, Baseline Energy Mix'!BB$13,'VII. Additional Data'!$C$17:$V$66,10, FALSE)</f>
        <v>0</v>
      </c>
      <c r="BC75" s="1292">
        <f xml:space="preserve"> BC64*VLOOKUP('IV. LCOE, Baseline Energy Mix'!BC$13,'VII. Additional Data'!$C$17:$V$66,10, FALSE)</f>
        <v>0</v>
      </c>
      <c r="BD75" s="1292">
        <f xml:space="preserve"> BD64*VLOOKUP('IV. LCOE, Baseline Energy Mix'!BD$13,'VII. Additional Data'!$C$17:$V$66,10, FALSE)</f>
        <v>0</v>
      </c>
      <c r="BE75" s="1293">
        <f xml:space="preserve"> BE64*VLOOKUP('IV. LCOE, Baseline Energy Mix'!BE$13,'VII. Additional Data'!$C$17:$V$66,10, FALSE)</f>
        <v>0</v>
      </c>
    </row>
    <row r="76" spans="2:57" outlineLevel="1" x14ac:dyDescent="0.25">
      <c r="B76" s="253"/>
      <c r="C76" s="254" t="s">
        <v>162</v>
      </c>
      <c r="D76" s="254"/>
      <c r="E76" s="257"/>
      <c r="F76" s="257"/>
      <c r="G76" s="254"/>
      <c r="H76" s="1292">
        <f>H64*VLOOKUP('IV. LCOE, Baseline Energy Mix'!H$13,'VII. Additional Data'!$C$17:$V$66,16, FALSE)</f>
        <v>11.826462796033075</v>
      </c>
      <c r="I76" s="1292">
        <f>I64*VLOOKUP('IV. LCOE, Baseline Energy Mix'!I$13,'VII. Additional Data'!$C$17:$V$66,16, FALSE)</f>
        <v>11.959694194049613</v>
      </c>
      <c r="J76" s="1292">
        <f>J64*VLOOKUP('IV. LCOE, Baseline Energy Mix'!J$13,'VII. Additional Data'!$C$17:$V$66,16, FALSE)</f>
        <v>12.09292559206615</v>
      </c>
      <c r="K76" s="1292">
        <f>K64*VLOOKUP('IV. LCOE, Baseline Energy Mix'!K$13,'VII. Additional Data'!$C$17:$V$66,16, FALSE)</f>
        <v>12.226156990082687</v>
      </c>
      <c r="L76" s="1292">
        <f>L64*VLOOKUP('IV. LCOE, Baseline Energy Mix'!L$13,'VII. Additional Data'!$C$17:$V$66,16, FALSE)</f>
        <v>12.359388388099225</v>
      </c>
      <c r="M76" s="1292">
        <f>M64*VLOOKUP('IV. LCOE, Baseline Energy Mix'!M$13,'VII. Additional Data'!$C$17:$V$66,16, FALSE)</f>
        <v>12.492619786115762</v>
      </c>
      <c r="N76" s="1292">
        <f>N64*VLOOKUP('IV. LCOE, Baseline Energy Mix'!N$13,'VII. Additional Data'!$C$17:$V$66,16, FALSE)</f>
        <v>12.6258511841323</v>
      </c>
      <c r="O76" s="1292">
        <f>O64*VLOOKUP('IV. LCOE, Baseline Energy Mix'!O$13,'VII. Additional Data'!$C$17:$V$66,16, FALSE)</f>
        <v>12.759082582148837</v>
      </c>
      <c r="P76" s="1292">
        <f>P64*VLOOKUP('IV. LCOE, Baseline Energy Mix'!P$13,'VII. Additional Data'!$C$17:$V$66,16, FALSE)</f>
        <v>12.892313980165374</v>
      </c>
      <c r="Q76" s="1292">
        <f>Q64*VLOOKUP('IV. LCOE, Baseline Energy Mix'!Q$13,'VII. Additional Data'!$C$17:$V$66,16, FALSE)</f>
        <v>13.025545378181912</v>
      </c>
      <c r="R76" s="1292">
        <f>R64*VLOOKUP('IV. LCOE, Baseline Energy Mix'!R$13,'VII. Additional Data'!$C$17:$V$66,16, FALSE)</f>
        <v>13.158776776198449</v>
      </c>
      <c r="S76" s="1292">
        <f>S64*VLOOKUP('IV. LCOE, Baseline Energy Mix'!S$13,'VII. Additional Data'!$C$17:$V$66,16, FALSE)</f>
        <v>13.292008174214986</v>
      </c>
      <c r="T76" s="1292">
        <f>T64*VLOOKUP('IV. LCOE, Baseline Energy Mix'!T$13,'VII. Additional Data'!$C$17:$V$66,16, FALSE)</f>
        <v>13.425239572231524</v>
      </c>
      <c r="U76" s="1292">
        <f>U64*VLOOKUP('IV. LCOE, Baseline Energy Mix'!U$13,'VII. Additional Data'!$C$17:$V$66,16, FALSE)</f>
        <v>13.558470970248061</v>
      </c>
      <c r="V76" s="1292">
        <f>V64*VLOOKUP('IV. LCOE, Baseline Energy Mix'!V$13,'VII. Additional Data'!$C$17:$V$66,16, FALSE)</f>
        <v>13.691702368264599</v>
      </c>
      <c r="W76" s="1292">
        <f>W64*VLOOKUP('IV. LCOE, Baseline Energy Mix'!W$13,'VII. Additional Data'!$C$17:$V$66,16, FALSE)</f>
        <v>13.824933766281136</v>
      </c>
      <c r="X76" s="1292">
        <f>X64*VLOOKUP('IV. LCOE, Baseline Energy Mix'!X$13,'VII. Additional Data'!$C$17:$V$66,16, FALSE)</f>
        <v>13.958165164297673</v>
      </c>
      <c r="Y76" s="1292">
        <f>Y64*VLOOKUP('IV. LCOE, Baseline Energy Mix'!Y$13,'VII. Additional Data'!$C$17:$V$66,16, FALSE)</f>
        <v>14.091396562314211</v>
      </c>
      <c r="Z76" s="1292">
        <f>Z64*VLOOKUP('IV. LCOE, Baseline Energy Mix'!Z$13,'VII. Additional Data'!$C$17:$V$66,16, FALSE)</f>
        <v>14.224627960330748</v>
      </c>
      <c r="AA76" s="1292">
        <f>AA64*VLOOKUP('IV. LCOE, Baseline Energy Mix'!AA$13,'VII. Additional Data'!$C$17:$V$66,16, FALSE)</f>
        <v>14.827929346447126</v>
      </c>
      <c r="AB76" s="1292">
        <f>AB64*VLOOKUP('IV. LCOE, Baseline Energy Mix'!AB$13,'VII. Additional Data'!$C$17:$V$66,16, FALSE)</f>
        <v>15.431230732563503</v>
      </c>
      <c r="AC76" s="1292">
        <f>AC64*VLOOKUP('IV. LCOE, Baseline Energy Mix'!AC$13,'VII. Additional Data'!$C$17:$V$66,16, FALSE)</f>
        <v>16.034532118679877</v>
      </c>
      <c r="AD76" s="1292">
        <f>AD64*VLOOKUP('IV. LCOE, Baseline Energy Mix'!AD$13,'VII. Additional Data'!$C$17:$V$66,16, FALSE)</f>
        <v>16.637833504796255</v>
      </c>
      <c r="AE76" s="1292">
        <f>AE64*VLOOKUP('IV. LCOE, Baseline Energy Mix'!AE$13,'VII. Additional Data'!$C$17:$V$66,16, FALSE)</f>
        <v>17.241134890912633</v>
      </c>
      <c r="AF76" s="1292">
        <f>AF64*VLOOKUP('IV. LCOE, Baseline Energy Mix'!AF$13,'VII. Additional Data'!$C$17:$V$66,16, FALSE)</f>
        <v>17.844436277029011</v>
      </c>
      <c r="AG76" s="1292">
        <f>AG64*VLOOKUP('IV. LCOE, Baseline Energy Mix'!AG$13,'VII. Additional Data'!$C$17:$V$66,16, FALSE)</f>
        <v>18.447737663145389</v>
      </c>
      <c r="AH76" s="1292">
        <f>AH64*VLOOKUP('IV. LCOE, Baseline Energy Mix'!AH$13,'VII. Additional Data'!$C$17:$V$66,16, FALSE)</f>
        <v>19.051039049261767</v>
      </c>
      <c r="AI76" s="1292">
        <f>AI64*VLOOKUP('IV. LCOE, Baseline Energy Mix'!AI$13,'VII. Additional Data'!$C$17:$V$66,16, FALSE)</f>
        <v>19.654340435378145</v>
      </c>
      <c r="AJ76" s="1292">
        <f>AJ64*VLOOKUP('IV. LCOE, Baseline Energy Mix'!AJ$13,'VII. Additional Data'!$C$17:$V$66,16, FALSE)</f>
        <v>20.257641821494516</v>
      </c>
      <c r="AK76" s="1292">
        <f>AK64*VLOOKUP('IV. LCOE, Baseline Energy Mix'!AK$13,'VII. Additional Data'!$C$17:$V$66,16, FALSE)</f>
        <v>20.860943207610894</v>
      </c>
      <c r="AL76" s="1292">
        <f>AL64*VLOOKUP('IV. LCOE, Baseline Energy Mix'!AL$13,'VII. Additional Data'!$C$17:$V$66,16, FALSE)</f>
        <v>21.464244593727273</v>
      </c>
      <c r="AM76" s="1292">
        <f>AM64*VLOOKUP('IV. LCOE, Baseline Energy Mix'!AM$13,'VII. Additional Data'!$C$17:$V$66,16, FALSE)</f>
        <v>22.067545979843651</v>
      </c>
      <c r="AN76" s="1292">
        <f>AN64*VLOOKUP('IV. LCOE, Baseline Energy Mix'!AN$13,'VII. Additional Data'!$C$17:$V$66,16, FALSE)</f>
        <v>22.670847365960029</v>
      </c>
      <c r="AO76" s="1292">
        <f>AO64*VLOOKUP('IV. LCOE, Baseline Energy Mix'!AO$13,'VII. Additional Data'!$C$17:$V$66,16, FALSE)</f>
        <v>23.274148752076407</v>
      </c>
      <c r="AP76" s="1292">
        <f>AP64*VLOOKUP('IV. LCOE, Baseline Energy Mix'!AP$13,'VII. Additional Data'!$C$17:$V$66,16, FALSE)</f>
        <v>23.877450138192785</v>
      </c>
      <c r="AQ76" s="1292">
        <f>AQ64*VLOOKUP('IV. LCOE, Baseline Energy Mix'!AQ$13,'VII. Additional Data'!$C$17:$V$66,16, FALSE)</f>
        <v>24.480751524309163</v>
      </c>
      <c r="AR76" s="1292">
        <f>AR64*VLOOKUP('IV. LCOE, Baseline Energy Mix'!AR$13,'VII. Additional Data'!$C$17:$V$66,16, FALSE)</f>
        <v>25.084052910425534</v>
      </c>
      <c r="AS76" s="1292">
        <f>AS64*VLOOKUP('IV. LCOE, Baseline Energy Mix'!AS$13,'VII. Additional Data'!$C$17:$V$66,16, FALSE)</f>
        <v>25.687354296541912</v>
      </c>
      <c r="AT76" s="1292">
        <f>AT64*VLOOKUP('IV. LCOE, Baseline Energy Mix'!AT$13,'VII. Additional Data'!$C$17:$V$66,16, FALSE)</f>
        <v>26.29065568265829</v>
      </c>
      <c r="AU76" s="1292">
        <f>AU64*VLOOKUP('IV. LCOE, Baseline Energy Mix'!AU$13,'VII. Additional Data'!$C$17:$V$66,16, FALSE)</f>
        <v>26.893957068774668</v>
      </c>
      <c r="AV76" s="1292">
        <f>AV64*VLOOKUP('IV. LCOE, Baseline Energy Mix'!AV$13,'VII. Additional Data'!$C$17:$V$66,16, FALSE)</f>
        <v>0</v>
      </c>
      <c r="AW76" s="1292">
        <f>AW64*VLOOKUP('IV. LCOE, Baseline Energy Mix'!AW$13,'VII. Additional Data'!$C$17:$V$66,16, FALSE)</f>
        <v>0</v>
      </c>
      <c r="AX76" s="1292">
        <f>AX64*VLOOKUP('IV. LCOE, Baseline Energy Mix'!AX$13,'VII. Additional Data'!$C$17:$V$66,16, FALSE)</f>
        <v>0</v>
      </c>
      <c r="AY76" s="1292">
        <f>AY64*VLOOKUP('IV. LCOE, Baseline Energy Mix'!AY$13,'VII. Additional Data'!$C$17:$V$66,16, FALSE)</f>
        <v>0</v>
      </c>
      <c r="AZ76" s="1292">
        <f>AZ64*VLOOKUP('IV. LCOE, Baseline Energy Mix'!AZ$13,'VII. Additional Data'!$C$17:$V$66,16, FALSE)</f>
        <v>0</v>
      </c>
      <c r="BA76" s="1292">
        <f>BA64*VLOOKUP('IV. LCOE, Baseline Energy Mix'!BA$13,'VII. Additional Data'!$C$17:$V$66,16, FALSE)</f>
        <v>0</v>
      </c>
      <c r="BB76" s="1292">
        <f>BB64*VLOOKUP('IV. LCOE, Baseline Energy Mix'!BB$13,'VII. Additional Data'!$C$17:$V$66,16, FALSE)</f>
        <v>0</v>
      </c>
      <c r="BC76" s="1292">
        <f>BC64*VLOOKUP('IV. LCOE, Baseline Energy Mix'!BC$13,'VII. Additional Data'!$C$17:$V$66,16, FALSE)</f>
        <v>0</v>
      </c>
      <c r="BD76" s="1292">
        <f>BD64*VLOOKUP('IV. LCOE, Baseline Energy Mix'!BD$13,'VII. Additional Data'!$C$17:$V$66,16, FALSE)</f>
        <v>0</v>
      </c>
      <c r="BE76" s="1293">
        <f>BE64*VLOOKUP('IV. LCOE, Baseline Energy Mix'!BE$13,'VII. Additional Data'!$C$17:$V$66,16, FALSE)</f>
        <v>0</v>
      </c>
    </row>
    <row r="77" spans="2:57" outlineLevel="1" x14ac:dyDescent="0.25">
      <c r="B77" s="253"/>
      <c r="C77" s="254"/>
      <c r="D77" s="254"/>
      <c r="E77" s="257"/>
      <c r="F77" s="257"/>
      <c r="G77" s="254"/>
      <c r="H77" s="1176"/>
      <c r="I77" s="1176"/>
      <c r="J77" s="1176"/>
      <c r="K77" s="1176"/>
      <c r="L77" s="1176"/>
      <c r="M77" s="1176"/>
      <c r="N77" s="1176"/>
      <c r="O77" s="1176"/>
      <c r="P77" s="1176"/>
      <c r="Q77" s="1176"/>
      <c r="R77" s="1176"/>
      <c r="S77" s="1176"/>
      <c r="T77" s="1176"/>
      <c r="U77" s="1176"/>
      <c r="V77" s="1176"/>
      <c r="W77" s="1176"/>
      <c r="X77" s="1176"/>
      <c r="Y77" s="1176"/>
      <c r="Z77" s="1176"/>
      <c r="AA77" s="1176"/>
      <c r="AB77" s="1176"/>
      <c r="AC77" s="1176"/>
      <c r="AD77" s="1176"/>
      <c r="AE77" s="1176"/>
      <c r="AF77" s="1176"/>
      <c r="AG77" s="1176"/>
      <c r="AH77" s="1176"/>
      <c r="AI77" s="1176"/>
      <c r="AJ77" s="1176"/>
      <c r="AK77" s="1176"/>
      <c r="AL77" s="1176"/>
      <c r="AM77" s="1176"/>
      <c r="AN77" s="1176"/>
      <c r="AO77" s="1176"/>
      <c r="AP77" s="1176"/>
      <c r="AQ77" s="1176"/>
      <c r="AR77" s="1176"/>
      <c r="AS77" s="1176"/>
      <c r="AT77" s="1176"/>
      <c r="AU77" s="1176"/>
      <c r="AV77" s="1176"/>
      <c r="AW77" s="1176"/>
      <c r="AX77" s="1176"/>
      <c r="AY77" s="1176"/>
      <c r="AZ77" s="1176"/>
      <c r="BA77" s="1176"/>
      <c r="BB77" s="1176"/>
      <c r="BC77" s="1176"/>
      <c r="BD77" s="1176"/>
      <c r="BE77" s="1177"/>
    </row>
    <row r="78" spans="2:57" x14ac:dyDescent="0.25">
      <c r="B78" s="253" t="s">
        <v>138</v>
      </c>
      <c r="C78" s="254"/>
      <c r="D78" s="254"/>
      <c r="E78" s="257"/>
      <c r="F78" s="257" t="s">
        <v>22</v>
      </c>
      <c r="G78" s="264"/>
      <c r="H78" s="1294">
        <f>H72*H66*H64/'II. Inputs, Baseline Energy Mix'!$O$91</f>
        <v>0</v>
      </c>
      <c r="I78" s="1294">
        <f>I72*I66*I64/'II. Inputs, Baseline Energy Mix'!$O$91</f>
        <v>0</v>
      </c>
      <c r="J78" s="1294">
        <f>J72*J66*J64/'II. Inputs, Baseline Energy Mix'!$O$91</f>
        <v>0</v>
      </c>
      <c r="K78" s="1294">
        <f>K72*K66*K64/'II. Inputs, Baseline Energy Mix'!$O$91</f>
        <v>0</v>
      </c>
      <c r="L78" s="1294">
        <f>L72*L66*L64/'II. Inputs, Baseline Energy Mix'!$O$91</f>
        <v>0</v>
      </c>
      <c r="M78" s="1294">
        <f>M72*M66*M64/'II. Inputs, Baseline Energy Mix'!$O$91</f>
        <v>0</v>
      </c>
      <c r="N78" s="1294">
        <f>N72*N66*N64/'II. Inputs, Baseline Energy Mix'!$O$91</f>
        <v>0</v>
      </c>
      <c r="O78" s="1294">
        <f>O72*O66*O64/'II. Inputs, Baseline Energy Mix'!$O$91</f>
        <v>0</v>
      </c>
      <c r="P78" s="1294">
        <f>P72*P66*P64/'II. Inputs, Baseline Energy Mix'!$O$91</f>
        <v>0</v>
      </c>
      <c r="Q78" s="1294">
        <f>Q72*Q66*Q64/'II. Inputs, Baseline Energy Mix'!$O$91</f>
        <v>0</v>
      </c>
      <c r="R78" s="1294">
        <f>R72*R66*R64/'II. Inputs, Baseline Energy Mix'!$O$91</f>
        <v>0</v>
      </c>
      <c r="S78" s="1294">
        <f>S72*S66*S64/'II. Inputs, Baseline Energy Mix'!$O$91</f>
        <v>0</v>
      </c>
      <c r="T78" s="1294">
        <f>T72*T66*T64/'II. Inputs, Baseline Energy Mix'!$O$91</f>
        <v>0</v>
      </c>
      <c r="U78" s="1294">
        <f>U72*U66*U64/'II. Inputs, Baseline Energy Mix'!$O$91</f>
        <v>0</v>
      </c>
      <c r="V78" s="1294">
        <f>V72*V66*V64/'II. Inputs, Baseline Energy Mix'!$O$91</f>
        <v>0</v>
      </c>
      <c r="W78" s="1294">
        <f>W72*W66*W64/'II. Inputs, Baseline Energy Mix'!$O$91</f>
        <v>0</v>
      </c>
      <c r="X78" s="1294">
        <f>X72*X66*X64/'II. Inputs, Baseline Energy Mix'!$O$91</f>
        <v>0</v>
      </c>
      <c r="Y78" s="1294">
        <f>Y72*Y66*Y64/'II. Inputs, Baseline Energy Mix'!$O$91</f>
        <v>0</v>
      </c>
      <c r="Z78" s="1294">
        <f>Z72*Z66*Z64/'II. Inputs, Baseline Energy Mix'!$O$91</f>
        <v>0</v>
      </c>
      <c r="AA78" s="1294">
        <f>AA72*AA66*AA64/'II. Inputs, Baseline Energy Mix'!$O$91</f>
        <v>0</v>
      </c>
      <c r="AB78" s="1294">
        <f>AB72*AB66*AB64/'II. Inputs, Baseline Energy Mix'!$O$91</f>
        <v>0</v>
      </c>
      <c r="AC78" s="1294">
        <f>AC72*AC66*AC64/'II. Inputs, Baseline Energy Mix'!$O$91</f>
        <v>0</v>
      </c>
      <c r="AD78" s="1294">
        <f>AD72*AD66*AD64/'II. Inputs, Baseline Energy Mix'!$O$91</f>
        <v>0</v>
      </c>
      <c r="AE78" s="1294">
        <f>AE72*AE66*AE64/'II. Inputs, Baseline Energy Mix'!$O$91</f>
        <v>0</v>
      </c>
      <c r="AF78" s="1294">
        <f>AF72*AF66*AF64/'II. Inputs, Baseline Energy Mix'!$O$91</f>
        <v>0</v>
      </c>
      <c r="AG78" s="1294">
        <f>AG72*AG66*AG64/'II. Inputs, Baseline Energy Mix'!$O$91</f>
        <v>0</v>
      </c>
      <c r="AH78" s="1294">
        <f>AH72*AH66*AH64/'II. Inputs, Baseline Energy Mix'!$O$91</f>
        <v>0</v>
      </c>
      <c r="AI78" s="1294">
        <f>AI72*AI66*AI64/'II. Inputs, Baseline Energy Mix'!$O$91</f>
        <v>0</v>
      </c>
      <c r="AJ78" s="1294">
        <f>AJ72*AJ66*AJ64/'II. Inputs, Baseline Energy Mix'!$O$91</f>
        <v>0</v>
      </c>
      <c r="AK78" s="1294">
        <f>AK72*AK66*AK64/'II. Inputs, Baseline Energy Mix'!$O$91</f>
        <v>0</v>
      </c>
      <c r="AL78" s="1294">
        <f>AL72*AL66*AL64/'II. Inputs, Baseline Energy Mix'!$O$91</f>
        <v>0</v>
      </c>
      <c r="AM78" s="1294">
        <f>AM72*AM66*AM64/'II. Inputs, Baseline Energy Mix'!$O$91</f>
        <v>0</v>
      </c>
      <c r="AN78" s="1294">
        <f>AN72*AN66*AN64/'II. Inputs, Baseline Energy Mix'!$O$91</f>
        <v>0</v>
      </c>
      <c r="AO78" s="1294">
        <f>AO72*AO66*AO64/'II. Inputs, Baseline Energy Mix'!$O$91</f>
        <v>0</v>
      </c>
      <c r="AP78" s="1294">
        <f>AP72*AP66*AP64/'II. Inputs, Baseline Energy Mix'!$O$91</f>
        <v>0</v>
      </c>
      <c r="AQ78" s="1294">
        <f>AQ72*AQ66*AQ64/'II. Inputs, Baseline Energy Mix'!$O$91</f>
        <v>0</v>
      </c>
      <c r="AR78" s="1294">
        <f>AR72*AR66*AR64/'II. Inputs, Baseline Energy Mix'!$O$91</f>
        <v>0</v>
      </c>
      <c r="AS78" s="1294">
        <f>AS72*AS66*AS64/'II. Inputs, Baseline Energy Mix'!$O$91</f>
        <v>0</v>
      </c>
      <c r="AT78" s="1294">
        <f>AT72*AT66*AT64/'II. Inputs, Baseline Energy Mix'!$O$91</f>
        <v>0</v>
      </c>
      <c r="AU78" s="1294">
        <f>AU72*AU66*AU64/'II. Inputs, Baseline Energy Mix'!$O$91</f>
        <v>0</v>
      </c>
      <c r="AV78" s="1294">
        <f>AV72*AV66*AV64/'II. Inputs, Baseline Energy Mix'!$O$91</f>
        <v>0</v>
      </c>
      <c r="AW78" s="1294">
        <f>AW72*AW66*AW64/'II. Inputs, Baseline Energy Mix'!$O$91</f>
        <v>0</v>
      </c>
      <c r="AX78" s="1294">
        <f>AX72*AX66*AX64/'II. Inputs, Baseline Energy Mix'!$O$91</f>
        <v>0</v>
      </c>
      <c r="AY78" s="1294">
        <f>AY72*AY66*AY64/'II. Inputs, Baseline Energy Mix'!$O$91</f>
        <v>0</v>
      </c>
      <c r="AZ78" s="1294">
        <f>AZ72*AZ66*AZ64/'II. Inputs, Baseline Energy Mix'!$O$91</f>
        <v>0</v>
      </c>
      <c r="BA78" s="1294">
        <f>BA72*BA66*BA64/'II. Inputs, Baseline Energy Mix'!$O$91</f>
        <v>0</v>
      </c>
      <c r="BB78" s="1294">
        <f>BB72*BB66*BB64/'II. Inputs, Baseline Energy Mix'!$O$91</f>
        <v>0</v>
      </c>
      <c r="BC78" s="1294">
        <f>BC72*BC66*BC64/'II. Inputs, Baseline Energy Mix'!$O$91</f>
        <v>0</v>
      </c>
      <c r="BD78" s="1294">
        <f>BD72*BD66*BD64/'II. Inputs, Baseline Energy Mix'!$O$91</f>
        <v>0</v>
      </c>
      <c r="BE78" s="1295">
        <f>BE72*BE66*BE64/'II. Inputs, Baseline Energy Mix'!$O$91</f>
        <v>0</v>
      </c>
    </row>
    <row r="79" spans="2:57" x14ac:dyDescent="0.25">
      <c r="B79" s="253"/>
      <c r="C79" s="254"/>
      <c r="D79" s="254"/>
      <c r="E79" s="257"/>
      <c r="F79" s="257"/>
      <c r="G79" s="264"/>
      <c r="H79" s="129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1296"/>
    </row>
    <row r="80" spans="2:57" x14ac:dyDescent="0.25">
      <c r="B80" s="253" t="s">
        <v>101</v>
      </c>
      <c r="C80" s="254"/>
      <c r="D80" s="254"/>
      <c r="E80" s="257"/>
      <c r="F80" s="257" t="s">
        <v>22</v>
      </c>
      <c r="G80" s="264"/>
      <c r="H80" s="264">
        <f>H790</f>
        <v>0</v>
      </c>
      <c r="I80" s="264">
        <f t="shared" ref="I80:BE80" si="27">I790</f>
        <v>0</v>
      </c>
      <c r="J80" s="264">
        <f t="shared" si="27"/>
        <v>0</v>
      </c>
      <c r="K80" s="264">
        <f t="shared" si="27"/>
        <v>0</v>
      </c>
      <c r="L80" s="264">
        <f t="shared" si="27"/>
        <v>0</v>
      </c>
      <c r="M80" s="264">
        <f t="shared" si="27"/>
        <v>0</v>
      </c>
      <c r="N80" s="264">
        <f t="shared" si="27"/>
        <v>0</v>
      </c>
      <c r="O80" s="264">
        <f t="shared" si="27"/>
        <v>0</v>
      </c>
      <c r="P80" s="264">
        <f t="shared" si="27"/>
        <v>0</v>
      </c>
      <c r="Q80" s="264">
        <f t="shared" si="27"/>
        <v>0</v>
      </c>
      <c r="R80" s="264">
        <f t="shared" si="27"/>
        <v>0</v>
      </c>
      <c r="S80" s="264">
        <f t="shared" si="27"/>
        <v>0</v>
      </c>
      <c r="T80" s="264">
        <f t="shared" si="27"/>
        <v>0</v>
      </c>
      <c r="U80" s="264">
        <f t="shared" si="27"/>
        <v>0</v>
      </c>
      <c r="V80" s="264">
        <f t="shared" si="27"/>
        <v>0</v>
      </c>
      <c r="W80" s="264">
        <f t="shared" si="27"/>
        <v>0</v>
      </c>
      <c r="X80" s="264">
        <f t="shared" si="27"/>
        <v>0</v>
      </c>
      <c r="Y80" s="264">
        <f t="shared" si="27"/>
        <v>0</v>
      </c>
      <c r="Z80" s="264">
        <f t="shared" si="27"/>
        <v>0</v>
      </c>
      <c r="AA80" s="264">
        <f t="shared" si="27"/>
        <v>0</v>
      </c>
      <c r="AB80" s="264">
        <f t="shared" si="27"/>
        <v>0</v>
      </c>
      <c r="AC80" s="264">
        <f t="shared" si="27"/>
        <v>0</v>
      </c>
      <c r="AD80" s="264">
        <f t="shared" si="27"/>
        <v>0</v>
      </c>
      <c r="AE80" s="264">
        <f t="shared" si="27"/>
        <v>0</v>
      </c>
      <c r="AF80" s="264">
        <f t="shared" si="27"/>
        <v>0</v>
      </c>
      <c r="AG80" s="264">
        <f t="shared" si="27"/>
        <v>0</v>
      </c>
      <c r="AH80" s="264">
        <f t="shared" si="27"/>
        <v>0</v>
      </c>
      <c r="AI80" s="264">
        <f t="shared" si="27"/>
        <v>0</v>
      </c>
      <c r="AJ80" s="264">
        <f t="shared" si="27"/>
        <v>0</v>
      </c>
      <c r="AK80" s="264">
        <f t="shared" si="27"/>
        <v>0</v>
      </c>
      <c r="AL80" s="264">
        <f t="shared" si="27"/>
        <v>0</v>
      </c>
      <c r="AM80" s="264">
        <f t="shared" si="27"/>
        <v>0</v>
      </c>
      <c r="AN80" s="264">
        <f t="shared" si="27"/>
        <v>0</v>
      </c>
      <c r="AO80" s="264">
        <f t="shared" si="27"/>
        <v>0</v>
      </c>
      <c r="AP80" s="264">
        <f t="shared" si="27"/>
        <v>0</v>
      </c>
      <c r="AQ80" s="264">
        <f t="shared" si="27"/>
        <v>0</v>
      </c>
      <c r="AR80" s="264">
        <f t="shared" si="27"/>
        <v>0</v>
      </c>
      <c r="AS80" s="264">
        <f t="shared" si="27"/>
        <v>0</v>
      </c>
      <c r="AT80" s="264">
        <f t="shared" si="27"/>
        <v>0</v>
      </c>
      <c r="AU80" s="264">
        <f t="shared" si="27"/>
        <v>0</v>
      </c>
      <c r="AV80" s="264">
        <f t="shared" si="27"/>
        <v>0</v>
      </c>
      <c r="AW80" s="264">
        <f t="shared" si="27"/>
        <v>0</v>
      </c>
      <c r="AX80" s="264">
        <f t="shared" si="27"/>
        <v>0</v>
      </c>
      <c r="AY80" s="264">
        <f t="shared" si="27"/>
        <v>0</v>
      </c>
      <c r="AZ80" s="264">
        <f t="shared" si="27"/>
        <v>0</v>
      </c>
      <c r="BA80" s="264">
        <f t="shared" si="27"/>
        <v>0</v>
      </c>
      <c r="BB80" s="264">
        <f t="shared" si="27"/>
        <v>0</v>
      </c>
      <c r="BC80" s="264">
        <f t="shared" si="27"/>
        <v>0</v>
      </c>
      <c r="BD80" s="264">
        <f t="shared" si="27"/>
        <v>0</v>
      </c>
      <c r="BE80" s="1296">
        <f t="shared" si="27"/>
        <v>0</v>
      </c>
    </row>
    <row r="81" spans="2:57" x14ac:dyDescent="0.25">
      <c r="B81" s="253"/>
      <c r="C81" s="254"/>
      <c r="D81" s="254"/>
      <c r="E81" s="257"/>
      <c r="F81" s="257"/>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1296"/>
    </row>
    <row r="82" spans="2:57" x14ac:dyDescent="0.25">
      <c r="B82" s="253" t="s">
        <v>256</v>
      </c>
      <c r="C82" s="254"/>
      <c r="D82" s="254"/>
      <c r="E82" s="257"/>
      <c r="F82" s="257" t="s">
        <v>22</v>
      </c>
      <c r="G82" s="264"/>
      <c r="H82" s="264">
        <f>H385</f>
        <v>0</v>
      </c>
      <c r="I82" s="264">
        <f>I385</f>
        <v>0</v>
      </c>
      <c r="J82" s="264">
        <f t="shared" ref="J82:BE82" si="28">J385</f>
        <v>0</v>
      </c>
      <c r="K82" s="264">
        <f t="shared" si="28"/>
        <v>0</v>
      </c>
      <c r="L82" s="264">
        <f t="shared" si="28"/>
        <v>0</v>
      </c>
      <c r="M82" s="264">
        <f t="shared" si="28"/>
        <v>0</v>
      </c>
      <c r="N82" s="264">
        <f t="shared" si="28"/>
        <v>0</v>
      </c>
      <c r="O82" s="264">
        <f t="shared" si="28"/>
        <v>0</v>
      </c>
      <c r="P82" s="264">
        <f t="shared" si="28"/>
        <v>0</v>
      </c>
      <c r="Q82" s="264">
        <f t="shared" si="28"/>
        <v>0</v>
      </c>
      <c r="R82" s="264">
        <f t="shared" si="28"/>
        <v>0</v>
      </c>
      <c r="S82" s="264">
        <f t="shared" si="28"/>
        <v>0</v>
      </c>
      <c r="T82" s="264">
        <f t="shared" si="28"/>
        <v>0</v>
      </c>
      <c r="U82" s="264">
        <f t="shared" si="28"/>
        <v>0</v>
      </c>
      <c r="V82" s="264">
        <f t="shared" si="28"/>
        <v>0</v>
      </c>
      <c r="W82" s="264">
        <f t="shared" si="28"/>
        <v>0</v>
      </c>
      <c r="X82" s="264">
        <f t="shared" si="28"/>
        <v>0</v>
      </c>
      <c r="Y82" s="264">
        <f t="shared" si="28"/>
        <v>0</v>
      </c>
      <c r="Z82" s="264">
        <f t="shared" si="28"/>
        <v>0</v>
      </c>
      <c r="AA82" s="264">
        <f t="shared" si="28"/>
        <v>0</v>
      </c>
      <c r="AB82" s="264">
        <f t="shared" si="28"/>
        <v>0</v>
      </c>
      <c r="AC82" s="264">
        <f t="shared" si="28"/>
        <v>0</v>
      </c>
      <c r="AD82" s="264">
        <f t="shared" si="28"/>
        <v>0</v>
      </c>
      <c r="AE82" s="264">
        <f t="shared" si="28"/>
        <v>0</v>
      </c>
      <c r="AF82" s="264">
        <f t="shared" si="28"/>
        <v>0</v>
      </c>
      <c r="AG82" s="264">
        <f t="shared" si="28"/>
        <v>0</v>
      </c>
      <c r="AH82" s="264">
        <f t="shared" si="28"/>
        <v>0</v>
      </c>
      <c r="AI82" s="264">
        <f t="shared" si="28"/>
        <v>0</v>
      </c>
      <c r="AJ82" s="264">
        <f t="shared" si="28"/>
        <v>0</v>
      </c>
      <c r="AK82" s="264">
        <f t="shared" si="28"/>
        <v>0</v>
      </c>
      <c r="AL82" s="264">
        <f t="shared" si="28"/>
        <v>0</v>
      </c>
      <c r="AM82" s="264">
        <f t="shared" si="28"/>
        <v>0</v>
      </c>
      <c r="AN82" s="264">
        <f t="shared" si="28"/>
        <v>0</v>
      </c>
      <c r="AO82" s="264">
        <f t="shared" si="28"/>
        <v>0</v>
      </c>
      <c r="AP82" s="264">
        <f t="shared" si="28"/>
        <v>0</v>
      </c>
      <c r="AQ82" s="264">
        <f t="shared" si="28"/>
        <v>0</v>
      </c>
      <c r="AR82" s="264">
        <f t="shared" si="28"/>
        <v>0</v>
      </c>
      <c r="AS82" s="264">
        <f t="shared" si="28"/>
        <v>0</v>
      </c>
      <c r="AT82" s="264">
        <f t="shared" si="28"/>
        <v>0</v>
      </c>
      <c r="AU82" s="264">
        <f t="shared" si="28"/>
        <v>0</v>
      </c>
      <c r="AV82" s="264">
        <f t="shared" si="28"/>
        <v>0</v>
      </c>
      <c r="AW82" s="264">
        <f t="shared" si="28"/>
        <v>0</v>
      </c>
      <c r="AX82" s="264">
        <f t="shared" si="28"/>
        <v>0</v>
      </c>
      <c r="AY82" s="264">
        <f t="shared" si="28"/>
        <v>0</v>
      </c>
      <c r="AZ82" s="264">
        <f t="shared" si="28"/>
        <v>0</v>
      </c>
      <c r="BA82" s="264">
        <f t="shared" si="28"/>
        <v>0</v>
      </c>
      <c r="BB82" s="264">
        <f t="shared" si="28"/>
        <v>0</v>
      </c>
      <c r="BC82" s="264">
        <f t="shared" si="28"/>
        <v>0</v>
      </c>
      <c r="BD82" s="264">
        <f t="shared" si="28"/>
        <v>0</v>
      </c>
      <c r="BE82" s="1296">
        <f t="shared" si="28"/>
        <v>0</v>
      </c>
    </row>
    <row r="83" spans="2:57" x14ac:dyDescent="0.25">
      <c r="B83" s="253" t="s">
        <v>188</v>
      </c>
      <c r="C83" s="254"/>
      <c r="D83" s="254"/>
      <c r="E83" s="257"/>
      <c r="F83" s="257" t="s">
        <v>22</v>
      </c>
      <c r="G83" s="264"/>
      <c r="H83" s="264">
        <f>H406</f>
        <v>0</v>
      </c>
      <c r="I83" s="264">
        <f>I406</f>
        <v>0</v>
      </c>
      <c r="J83" s="264">
        <f t="shared" ref="J83:BE83" si="29">J406</f>
        <v>0</v>
      </c>
      <c r="K83" s="264">
        <f t="shared" si="29"/>
        <v>0</v>
      </c>
      <c r="L83" s="264">
        <f t="shared" si="29"/>
        <v>0</v>
      </c>
      <c r="M83" s="264">
        <f t="shared" si="29"/>
        <v>0</v>
      </c>
      <c r="N83" s="264">
        <f t="shared" si="29"/>
        <v>0</v>
      </c>
      <c r="O83" s="264">
        <f t="shared" si="29"/>
        <v>0</v>
      </c>
      <c r="P83" s="264">
        <f t="shared" si="29"/>
        <v>0</v>
      </c>
      <c r="Q83" s="264">
        <f t="shared" si="29"/>
        <v>0</v>
      </c>
      <c r="R83" s="264">
        <f t="shared" si="29"/>
        <v>0</v>
      </c>
      <c r="S83" s="264">
        <f t="shared" si="29"/>
        <v>0</v>
      </c>
      <c r="T83" s="264">
        <f t="shared" si="29"/>
        <v>0</v>
      </c>
      <c r="U83" s="264">
        <f t="shared" si="29"/>
        <v>0</v>
      </c>
      <c r="V83" s="264">
        <f t="shared" si="29"/>
        <v>0</v>
      </c>
      <c r="W83" s="264">
        <f t="shared" si="29"/>
        <v>0</v>
      </c>
      <c r="X83" s="264">
        <f t="shared" si="29"/>
        <v>0</v>
      </c>
      <c r="Y83" s="264">
        <f t="shared" si="29"/>
        <v>0</v>
      </c>
      <c r="Z83" s="264">
        <f t="shared" si="29"/>
        <v>0</v>
      </c>
      <c r="AA83" s="264">
        <f t="shared" si="29"/>
        <v>0</v>
      </c>
      <c r="AB83" s="264">
        <f t="shared" si="29"/>
        <v>0</v>
      </c>
      <c r="AC83" s="264">
        <f t="shared" si="29"/>
        <v>0</v>
      </c>
      <c r="AD83" s="264">
        <f t="shared" si="29"/>
        <v>0</v>
      </c>
      <c r="AE83" s="264">
        <f t="shared" si="29"/>
        <v>0</v>
      </c>
      <c r="AF83" s="264">
        <f t="shared" si="29"/>
        <v>0</v>
      </c>
      <c r="AG83" s="264">
        <f t="shared" si="29"/>
        <v>0</v>
      </c>
      <c r="AH83" s="264">
        <f t="shared" si="29"/>
        <v>0</v>
      </c>
      <c r="AI83" s="264">
        <f t="shared" si="29"/>
        <v>0</v>
      </c>
      <c r="AJ83" s="264">
        <f t="shared" si="29"/>
        <v>0</v>
      </c>
      <c r="AK83" s="264">
        <f t="shared" si="29"/>
        <v>0</v>
      </c>
      <c r="AL83" s="264">
        <f t="shared" si="29"/>
        <v>0</v>
      </c>
      <c r="AM83" s="264">
        <f t="shared" si="29"/>
        <v>0</v>
      </c>
      <c r="AN83" s="264">
        <f t="shared" si="29"/>
        <v>0</v>
      </c>
      <c r="AO83" s="264">
        <f t="shared" si="29"/>
        <v>0</v>
      </c>
      <c r="AP83" s="264">
        <f t="shared" si="29"/>
        <v>0</v>
      </c>
      <c r="AQ83" s="264">
        <f t="shared" si="29"/>
        <v>0</v>
      </c>
      <c r="AR83" s="264">
        <f t="shared" si="29"/>
        <v>0</v>
      </c>
      <c r="AS83" s="264">
        <f t="shared" si="29"/>
        <v>0</v>
      </c>
      <c r="AT83" s="264">
        <f t="shared" si="29"/>
        <v>0</v>
      </c>
      <c r="AU83" s="264">
        <f t="shared" si="29"/>
        <v>0</v>
      </c>
      <c r="AV83" s="264">
        <f t="shared" si="29"/>
        <v>0</v>
      </c>
      <c r="AW83" s="264">
        <f t="shared" si="29"/>
        <v>0</v>
      </c>
      <c r="AX83" s="264">
        <f t="shared" si="29"/>
        <v>0</v>
      </c>
      <c r="AY83" s="264">
        <f t="shared" si="29"/>
        <v>0</v>
      </c>
      <c r="AZ83" s="264">
        <f t="shared" si="29"/>
        <v>0</v>
      </c>
      <c r="BA83" s="264">
        <f t="shared" si="29"/>
        <v>0</v>
      </c>
      <c r="BB83" s="264">
        <f t="shared" si="29"/>
        <v>0</v>
      </c>
      <c r="BC83" s="264">
        <f t="shared" si="29"/>
        <v>0</v>
      </c>
      <c r="BD83" s="264">
        <f t="shared" si="29"/>
        <v>0</v>
      </c>
      <c r="BE83" s="1296">
        <f t="shared" si="29"/>
        <v>0</v>
      </c>
    </row>
    <row r="84" spans="2:57" x14ac:dyDescent="0.25">
      <c r="B84" s="253" t="s">
        <v>189</v>
      </c>
      <c r="C84" s="254"/>
      <c r="D84" s="254"/>
      <c r="E84" s="257"/>
      <c r="F84" s="257" t="s">
        <v>22</v>
      </c>
      <c r="G84" s="264"/>
      <c r="H84" s="264">
        <f>H427</f>
        <v>0</v>
      </c>
      <c r="I84" s="264">
        <f>I427</f>
        <v>0</v>
      </c>
      <c r="J84" s="264">
        <f t="shared" ref="J84:BE84" si="30">J427</f>
        <v>0</v>
      </c>
      <c r="K84" s="264">
        <f t="shared" si="30"/>
        <v>0</v>
      </c>
      <c r="L84" s="264">
        <f t="shared" si="30"/>
        <v>0</v>
      </c>
      <c r="M84" s="264">
        <f t="shared" si="30"/>
        <v>0</v>
      </c>
      <c r="N84" s="264">
        <f t="shared" si="30"/>
        <v>0</v>
      </c>
      <c r="O84" s="264">
        <f t="shared" si="30"/>
        <v>0</v>
      </c>
      <c r="P84" s="264">
        <f t="shared" si="30"/>
        <v>0</v>
      </c>
      <c r="Q84" s="264">
        <f t="shared" si="30"/>
        <v>0</v>
      </c>
      <c r="R84" s="264">
        <f t="shared" si="30"/>
        <v>0</v>
      </c>
      <c r="S84" s="264">
        <f t="shared" si="30"/>
        <v>0</v>
      </c>
      <c r="T84" s="264">
        <f t="shared" si="30"/>
        <v>0</v>
      </c>
      <c r="U84" s="264">
        <f t="shared" si="30"/>
        <v>0</v>
      </c>
      <c r="V84" s="264">
        <f t="shared" si="30"/>
        <v>0</v>
      </c>
      <c r="W84" s="264">
        <f t="shared" si="30"/>
        <v>0</v>
      </c>
      <c r="X84" s="264">
        <f t="shared" si="30"/>
        <v>0</v>
      </c>
      <c r="Y84" s="264">
        <f t="shared" si="30"/>
        <v>0</v>
      </c>
      <c r="Z84" s="264">
        <f t="shared" si="30"/>
        <v>0</v>
      </c>
      <c r="AA84" s="264">
        <f t="shared" si="30"/>
        <v>0</v>
      </c>
      <c r="AB84" s="264">
        <f t="shared" si="30"/>
        <v>0</v>
      </c>
      <c r="AC84" s="264">
        <f t="shared" si="30"/>
        <v>0</v>
      </c>
      <c r="AD84" s="264">
        <f t="shared" si="30"/>
        <v>0</v>
      </c>
      <c r="AE84" s="264">
        <f t="shared" si="30"/>
        <v>0</v>
      </c>
      <c r="AF84" s="264">
        <f t="shared" si="30"/>
        <v>0</v>
      </c>
      <c r="AG84" s="264">
        <f t="shared" si="30"/>
        <v>0</v>
      </c>
      <c r="AH84" s="264">
        <f t="shared" si="30"/>
        <v>0</v>
      </c>
      <c r="AI84" s="264">
        <f t="shared" si="30"/>
        <v>0</v>
      </c>
      <c r="AJ84" s="264">
        <f t="shared" si="30"/>
        <v>0</v>
      </c>
      <c r="AK84" s="264">
        <f t="shared" si="30"/>
        <v>0</v>
      </c>
      <c r="AL84" s="264">
        <f t="shared" si="30"/>
        <v>0</v>
      </c>
      <c r="AM84" s="264">
        <f t="shared" si="30"/>
        <v>0</v>
      </c>
      <c r="AN84" s="264">
        <f t="shared" si="30"/>
        <v>0</v>
      </c>
      <c r="AO84" s="264">
        <f t="shared" si="30"/>
        <v>0</v>
      </c>
      <c r="AP84" s="264">
        <f t="shared" si="30"/>
        <v>0</v>
      </c>
      <c r="AQ84" s="264">
        <f t="shared" si="30"/>
        <v>0</v>
      </c>
      <c r="AR84" s="264">
        <f t="shared" si="30"/>
        <v>0</v>
      </c>
      <c r="AS84" s="264">
        <f t="shared" si="30"/>
        <v>0</v>
      </c>
      <c r="AT84" s="264">
        <f t="shared" si="30"/>
        <v>0</v>
      </c>
      <c r="AU84" s="264">
        <f t="shared" si="30"/>
        <v>0</v>
      </c>
      <c r="AV84" s="264">
        <f t="shared" si="30"/>
        <v>0</v>
      </c>
      <c r="AW84" s="264">
        <f t="shared" si="30"/>
        <v>0</v>
      </c>
      <c r="AX84" s="264">
        <f t="shared" si="30"/>
        <v>0</v>
      </c>
      <c r="AY84" s="264">
        <f t="shared" si="30"/>
        <v>0</v>
      </c>
      <c r="AZ84" s="264">
        <f t="shared" si="30"/>
        <v>0</v>
      </c>
      <c r="BA84" s="264">
        <f t="shared" si="30"/>
        <v>0</v>
      </c>
      <c r="BB84" s="264">
        <f t="shared" si="30"/>
        <v>0</v>
      </c>
      <c r="BC84" s="264">
        <f t="shared" si="30"/>
        <v>0</v>
      </c>
      <c r="BD84" s="264">
        <f t="shared" si="30"/>
        <v>0</v>
      </c>
      <c r="BE84" s="1296">
        <f t="shared" si="30"/>
        <v>0</v>
      </c>
    </row>
    <row r="85" spans="2:57" x14ac:dyDescent="0.25">
      <c r="B85" s="253" t="s">
        <v>132</v>
      </c>
      <c r="C85" s="254"/>
      <c r="D85" s="254"/>
      <c r="E85" s="257"/>
      <c r="F85" s="257" t="s">
        <v>22</v>
      </c>
      <c r="G85" s="264"/>
      <c r="H85" s="264">
        <f>(H396+H417+H438)</f>
        <v>0</v>
      </c>
      <c r="I85" s="264">
        <f>(I396+I417+I438)</f>
        <v>0</v>
      </c>
      <c r="J85" s="264">
        <f t="shared" ref="J85:BE85" si="31">(J396+J417+J438)</f>
        <v>0</v>
      </c>
      <c r="K85" s="264">
        <f t="shared" si="31"/>
        <v>0</v>
      </c>
      <c r="L85" s="264">
        <f t="shared" si="31"/>
        <v>0</v>
      </c>
      <c r="M85" s="264">
        <f t="shared" si="31"/>
        <v>0</v>
      </c>
      <c r="N85" s="264">
        <f t="shared" si="31"/>
        <v>0</v>
      </c>
      <c r="O85" s="264">
        <f t="shared" si="31"/>
        <v>0</v>
      </c>
      <c r="P85" s="264">
        <f t="shared" si="31"/>
        <v>0</v>
      </c>
      <c r="Q85" s="264">
        <f t="shared" si="31"/>
        <v>0</v>
      </c>
      <c r="R85" s="264">
        <f t="shared" si="31"/>
        <v>0</v>
      </c>
      <c r="S85" s="264">
        <f t="shared" si="31"/>
        <v>0</v>
      </c>
      <c r="T85" s="264">
        <f t="shared" si="31"/>
        <v>0</v>
      </c>
      <c r="U85" s="264">
        <f t="shared" si="31"/>
        <v>0</v>
      </c>
      <c r="V85" s="264">
        <f t="shared" si="31"/>
        <v>0</v>
      </c>
      <c r="W85" s="264">
        <f t="shared" si="31"/>
        <v>0</v>
      </c>
      <c r="X85" s="264">
        <f t="shared" si="31"/>
        <v>0</v>
      </c>
      <c r="Y85" s="264">
        <f t="shared" si="31"/>
        <v>0</v>
      </c>
      <c r="Z85" s="264">
        <f t="shared" si="31"/>
        <v>0</v>
      </c>
      <c r="AA85" s="264">
        <f t="shared" si="31"/>
        <v>0</v>
      </c>
      <c r="AB85" s="264">
        <f t="shared" si="31"/>
        <v>0</v>
      </c>
      <c r="AC85" s="264">
        <f t="shared" si="31"/>
        <v>0</v>
      </c>
      <c r="AD85" s="264">
        <f t="shared" si="31"/>
        <v>0</v>
      </c>
      <c r="AE85" s="264">
        <f t="shared" si="31"/>
        <v>0</v>
      </c>
      <c r="AF85" s="264">
        <f t="shared" si="31"/>
        <v>0</v>
      </c>
      <c r="AG85" s="264">
        <f t="shared" si="31"/>
        <v>0</v>
      </c>
      <c r="AH85" s="264">
        <f t="shared" si="31"/>
        <v>0</v>
      </c>
      <c r="AI85" s="264">
        <f t="shared" si="31"/>
        <v>0</v>
      </c>
      <c r="AJ85" s="264">
        <f t="shared" si="31"/>
        <v>0</v>
      </c>
      <c r="AK85" s="264">
        <f t="shared" si="31"/>
        <v>0</v>
      </c>
      <c r="AL85" s="264">
        <f t="shared" si="31"/>
        <v>0</v>
      </c>
      <c r="AM85" s="264">
        <f t="shared" si="31"/>
        <v>0</v>
      </c>
      <c r="AN85" s="264">
        <f t="shared" si="31"/>
        <v>0</v>
      </c>
      <c r="AO85" s="264">
        <f t="shared" si="31"/>
        <v>0</v>
      </c>
      <c r="AP85" s="264">
        <f t="shared" si="31"/>
        <v>0</v>
      </c>
      <c r="AQ85" s="264">
        <f t="shared" si="31"/>
        <v>0</v>
      </c>
      <c r="AR85" s="264">
        <f t="shared" si="31"/>
        <v>0</v>
      </c>
      <c r="AS85" s="264">
        <f t="shared" si="31"/>
        <v>0</v>
      </c>
      <c r="AT85" s="264">
        <f t="shared" si="31"/>
        <v>0</v>
      </c>
      <c r="AU85" s="264">
        <f t="shared" si="31"/>
        <v>0</v>
      </c>
      <c r="AV85" s="264">
        <f t="shared" si="31"/>
        <v>0</v>
      </c>
      <c r="AW85" s="264">
        <f t="shared" si="31"/>
        <v>0</v>
      </c>
      <c r="AX85" s="264">
        <f t="shared" si="31"/>
        <v>0</v>
      </c>
      <c r="AY85" s="264">
        <f t="shared" si="31"/>
        <v>0</v>
      </c>
      <c r="AZ85" s="264">
        <f t="shared" si="31"/>
        <v>0</v>
      </c>
      <c r="BA85" s="264">
        <f t="shared" si="31"/>
        <v>0</v>
      </c>
      <c r="BB85" s="264">
        <f t="shared" si="31"/>
        <v>0</v>
      </c>
      <c r="BC85" s="264">
        <f t="shared" si="31"/>
        <v>0</v>
      </c>
      <c r="BD85" s="264">
        <f t="shared" si="31"/>
        <v>0</v>
      </c>
      <c r="BE85" s="1296">
        <f t="shared" si="31"/>
        <v>0</v>
      </c>
    </row>
    <row r="86" spans="2:57" x14ac:dyDescent="0.25">
      <c r="B86" s="253" t="s">
        <v>190</v>
      </c>
      <c r="C86" s="254"/>
      <c r="D86" s="254"/>
      <c r="E86" s="257"/>
      <c r="F86" s="257" t="s">
        <v>22</v>
      </c>
      <c r="G86" s="264"/>
      <c r="H86" s="264">
        <f>(H418+H419)</f>
        <v>0</v>
      </c>
      <c r="I86" s="264">
        <f>(I419)</f>
        <v>0</v>
      </c>
      <c r="J86" s="264">
        <f t="shared" ref="J86:BE86" si="32">(J419)</f>
        <v>0</v>
      </c>
      <c r="K86" s="264">
        <f t="shared" si="32"/>
        <v>0</v>
      </c>
      <c r="L86" s="264">
        <f t="shared" si="32"/>
        <v>0</v>
      </c>
      <c r="M86" s="264">
        <f t="shared" si="32"/>
        <v>0</v>
      </c>
      <c r="N86" s="264">
        <f t="shared" si="32"/>
        <v>0</v>
      </c>
      <c r="O86" s="264">
        <f t="shared" si="32"/>
        <v>0</v>
      </c>
      <c r="P86" s="264">
        <f t="shared" si="32"/>
        <v>0</v>
      </c>
      <c r="Q86" s="264">
        <f t="shared" si="32"/>
        <v>0</v>
      </c>
      <c r="R86" s="264">
        <f t="shared" si="32"/>
        <v>0</v>
      </c>
      <c r="S86" s="264">
        <f t="shared" si="32"/>
        <v>0</v>
      </c>
      <c r="T86" s="264">
        <f t="shared" si="32"/>
        <v>0</v>
      </c>
      <c r="U86" s="264">
        <f t="shared" si="32"/>
        <v>0</v>
      </c>
      <c r="V86" s="264">
        <f t="shared" si="32"/>
        <v>0</v>
      </c>
      <c r="W86" s="264">
        <f t="shared" si="32"/>
        <v>0</v>
      </c>
      <c r="X86" s="264">
        <f t="shared" si="32"/>
        <v>0</v>
      </c>
      <c r="Y86" s="264">
        <f t="shared" si="32"/>
        <v>0</v>
      </c>
      <c r="Z86" s="264">
        <f t="shared" si="32"/>
        <v>0</v>
      </c>
      <c r="AA86" s="264">
        <f t="shared" si="32"/>
        <v>0</v>
      </c>
      <c r="AB86" s="264">
        <f t="shared" si="32"/>
        <v>0</v>
      </c>
      <c r="AC86" s="264">
        <f t="shared" si="32"/>
        <v>0</v>
      </c>
      <c r="AD86" s="264">
        <f t="shared" si="32"/>
        <v>0</v>
      </c>
      <c r="AE86" s="264">
        <f t="shared" si="32"/>
        <v>0</v>
      </c>
      <c r="AF86" s="264">
        <f t="shared" si="32"/>
        <v>0</v>
      </c>
      <c r="AG86" s="264">
        <f t="shared" si="32"/>
        <v>0</v>
      </c>
      <c r="AH86" s="264">
        <f t="shared" si="32"/>
        <v>0</v>
      </c>
      <c r="AI86" s="264">
        <f t="shared" si="32"/>
        <v>0</v>
      </c>
      <c r="AJ86" s="264">
        <f t="shared" si="32"/>
        <v>0</v>
      </c>
      <c r="AK86" s="264">
        <f t="shared" si="32"/>
        <v>0</v>
      </c>
      <c r="AL86" s="264">
        <f t="shared" si="32"/>
        <v>0</v>
      </c>
      <c r="AM86" s="264">
        <f t="shared" si="32"/>
        <v>0</v>
      </c>
      <c r="AN86" s="264">
        <f t="shared" si="32"/>
        <v>0</v>
      </c>
      <c r="AO86" s="264">
        <f t="shared" si="32"/>
        <v>0</v>
      </c>
      <c r="AP86" s="264">
        <f t="shared" si="32"/>
        <v>0</v>
      </c>
      <c r="AQ86" s="264">
        <f t="shared" si="32"/>
        <v>0</v>
      </c>
      <c r="AR86" s="264">
        <f t="shared" si="32"/>
        <v>0</v>
      </c>
      <c r="AS86" s="264">
        <f t="shared" si="32"/>
        <v>0</v>
      </c>
      <c r="AT86" s="264">
        <f t="shared" si="32"/>
        <v>0</v>
      </c>
      <c r="AU86" s="264">
        <f t="shared" si="32"/>
        <v>0</v>
      </c>
      <c r="AV86" s="264">
        <f t="shared" si="32"/>
        <v>0</v>
      </c>
      <c r="AW86" s="264">
        <f t="shared" si="32"/>
        <v>0</v>
      </c>
      <c r="AX86" s="264">
        <f t="shared" si="32"/>
        <v>0</v>
      </c>
      <c r="AY86" s="264">
        <f t="shared" si="32"/>
        <v>0</v>
      </c>
      <c r="AZ86" s="264">
        <f t="shared" si="32"/>
        <v>0</v>
      </c>
      <c r="BA86" s="264">
        <f t="shared" si="32"/>
        <v>0</v>
      </c>
      <c r="BB86" s="264">
        <f t="shared" si="32"/>
        <v>0</v>
      </c>
      <c r="BC86" s="264">
        <f t="shared" si="32"/>
        <v>0</v>
      </c>
      <c r="BD86" s="264">
        <f t="shared" si="32"/>
        <v>0</v>
      </c>
      <c r="BE86" s="1296">
        <f t="shared" si="32"/>
        <v>0</v>
      </c>
    </row>
    <row r="87" spans="2:57" x14ac:dyDescent="0.25">
      <c r="B87" s="253" t="s">
        <v>134</v>
      </c>
      <c r="C87" s="254"/>
      <c r="D87" s="254"/>
      <c r="E87" s="257"/>
      <c r="F87" s="257" t="s">
        <v>22</v>
      </c>
      <c r="G87" s="264"/>
      <c r="H87" s="264">
        <f>(H448+H449)</f>
        <v>0</v>
      </c>
      <c r="I87" s="264">
        <f>I449</f>
        <v>0</v>
      </c>
      <c r="J87" s="264">
        <f t="shared" ref="J87:BE87" si="33">J449</f>
        <v>0</v>
      </c>
      <c r="K87" s="264">
        <f t="shared" si="33"/>
        <v>0</v>
      </c>
      <c r="L87" s="264">
        <f t="shared" si="33"/>
        <v>0</v>
      </c>
      <c r="M87" s="264">
        <f t="shared" si="33"/>
        <v>0</v>
      </c>
      <c r="N87" s="264">
        <f t="shared" si="33"/>
        <v>0</v>
      </c>
      <c r="O87" s="264">
        <f t="shared" si="33"/>
        <v>0</v>
      </c>
      <c r="P87" s="264">
        <f t="shared" si="33"/>
        <v>0</v>
      </c>
      <c r="Q87" s="264">
        <f t="shared" si="33"/>
        <v>0</v>
      </c>
      <c r="R87" s="264">
        <f t="shared" si="33"/>
        <v>0</v>
      </c>
      <c r="S87" s="264">
        <f t="shared" si="33"/>
        <v>0</v>
      </c>
      <c r="T87" s="264">
        <f t="shared" si="33"/>
        <v>0</v>
      </c>
      <c r="U87" s="264">
        <f t="shared" si="33"/>
        <v>0</v>
      </c>
      <c r="V87" s="264">
        <f t="shared" si="33"/>
        <v>0</v>
      </c>
      <c r="W87" s="264">
        <f t="shared" si="33"/>
        <v>0</v>
      </c>
      <c r="X87" s="264">
        <f t="shared" si="33"/>
        <v>0</v>
      </c>
      <c r="Y87" s="264">
        <f t="shared" si="33"/>
        <v>0</v>
      </c>
      <c r="Z87" s="264">
        <f t="shared" si="33"/>
        <v>0</v>
      </c>
      <c r="AA87" s="264">
        <f t="shared" si="33"/>
        <v>0</v>
      </c>
      <c r="AB87" s="264">
        <f t="shared" si="33"/>
        <v>0</v>
      </c>
      <c r="AC87" s="264">
        <f t="shared" si="33"/>
        <v>0</v>
      </c>
      <c r="AD87" s="264">
        <f t="shared" si="33"/>
        <v>0</v>
      </c>
      <c r="AE87" s="264">
        <f t="shared" si="33"/>
        <v>0</v>
      </c>
      <c r="AF87" s="264">
        <f t="shared" si="33"/>
        <v>0</v>
      </c>
      <c r="AG87" s="264">
        <f t="shared" si="33"/>
        <v>0</v>
      </c>
      <c r="AH87" s="264">
        <f t="shared" si="33"/>
        <v>0</v>
      </c>
      <c r="AI87" s="264">
        <f t="shared" si="33"/>
        <v>0</v>
      </c>
      <c r="AJ87" s="264">
        <f t="shared" si="33"/>
        <v>0</v>
      </c>
      <c r="AK87" s="264">
        <f t="shared" si="33"/>
        <v>0</v>
      </c>
      <c r="AL87" s="264">
        <f t="shared" si="33"/>
        <v>0</v>
      </c>
      <c r="AM87" s="264">
        <f t="shared" si="33"/>
        <v>0</v>
      </c>
      <c r="AN87" s="264">
        <f t="shared" si="33"/>
        <v>0</v>
      </c>
      <c r="AO87" s="264">
        <f t="shared" si="33"/>
        <v>0</v>
      </c>
      <c r="AP87" s="264">
        <f t="shared" si="33"/>
        <v>0</v>
      </c>
      <c r="AQ87" s="264">
        <f t="shared" si="33"/>
        <v>0</v>
      </c>
      <c r="AR87" s="264">
        <f t="shared" si="33"/>
        <v>0</v>
      </c>
      <c r="AS87" s="264">
        <f t="shared" si="33"/>
        <v>0</v>
      </c>
      <c r="AT87" s="264">
        <f t="shared" si="33"/>
        <v>0</v>
      </c>
      <c r="AU87" s="264">
        <f t="shared" si="33"/>
        <v>0</v>
      </c>
      <c r="AV87" s="264">
        <f t="shared" si="33"/>
        <v>0</v>
      </c>
      <c r="AW87" s="264">
        <f t="shared" si="33"/>
        <v>0</v>
      </c>
      <c r="AX87" s="264">
        <f t="shared" si="33"/>
        <v>0</v>
      </c>
      <c r="AY87" s="264">
        <f t="shared" si="33"/>
        <v>0</v>
      </c>
      <c r="AZ87" s="264">
        <f t="shared" si="33"/>
        <v>0</v>
      </c>
      <c r="BA87" s="264">
        <f t="shared" si="33"/>
        <v>0</v>
      </c>
      <c r="BB87" s="264">
        <f t="shared" si="33"/>
        <v>0</v>
      </c>
      <c r="BC87" s="264">
        <f t="shared" si="33"/>
        <v>0</v>
      </c>
      <c r="BD87" s="264">
        <f t="shared" si="33"/>
        <v>0</v>
      </c>
      <c r="BE87" s="1296">
        <f t="shared" si="33"/>
        <v>0</v>
      </c>
    </row>
    <row r="88" spans="2:57" x14ac:dyDescent="0.25">
      <c r="B88" s="253"/>
      <c r="C88" s="254"/>
      <c r="D88" s="254"/>
      <c r="E88" s="257"/>
      <c r="F88" s="257"/>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1296"/>
    </row>
    <row r="89" spans="2:57" x14ac:dyDescent="0.25">
      <c r="B89" s="253"/>
      <c r="C89" s="254"/>
      <c r="D89" s="254"/>
      <c r="E89" s="257"/>
      <c r="F89" s="257"/>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1296"/>
    </row>
    <row r="90" spans="2:57" x14ac:dyDescent="0.25">
      <c r="B90" s="265" t="s">
        <v>133</v>
      </c>
      <c r="C90" s="254"/>
      <c r="D90" s="254"/>
      <c r="E90" s="257"/>
      <c r="F90" s="257"/>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1296"/>
    </row>
    <row r="91" spans="2:57" x14ac:dyDescent="0.25">
      <c r="B91" s="253"/>
      <c r="C91" s="254"/>
      <c r="D91" s="254"/>
      <c r="E91" s="257"/>
      <c r="F91" s="257"/>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1296"/>
    </row>
    <row r="92" spans="2:57" x14ac:dyDescent="0.25">
      <c r="B92" s="253" t="str">
        <f>B70</f>
        <v>Operations &amp; Maintenance Expenses, excluding fuel cost</v>
      </c>
      <c r="C92" s="254"/>
      <c r="D92" s="254"/>
      <c r="E92" s="257"/>
      <c r="F92" s="257" t="s">
        <v>22</v>
      </c>
      <c r="G92" s="264"/>
      <c r="H92" s="264">
        <f>-H70</f>
        <v>0</v>
      </c>
      <c r="I92" s="264">
        <f>-I70</f>
        <v>0</v>
      </c>
      <c r="J92" s="264">
        <f>-J70</f>
        <v>0</v>
      </c>
      <c r="K92" s="264">
        <f t="shared" ref="K92:BE92" si="34">-K70</f>
        <v>0</v>
      </c>
      <c r="L92" s="264">
        <f t="shared" si="34"/>
        <v>0</v>
      </c>
      <c r="M92" s="264">
        <f t="shared" si="34"/>
        <v>0</v>
      </c>
      <c r="N92" s="264">
        <f t="shared" si="34"/>
        <v>0</v>
      </c>
      <c r="O92" s="264">
        <f t="shared" si="34"/>
        <v>0</v>
      </c>
      <c r="P92" s="264">
        <f t="shared" si="34"/>
        <v>0</v>
      </c>
      <c r="Q92" s="264">
        <f t="shared" si="34"/>
        <v>0</v>
      </c>
      <c r="R92" s="264">
        <f t="shared" si="34"/>
        <v>0</v>
      </c>
      <c r="S92" s="264">
        <f t="shared" si="34"/>
        <v>0</v>
      </c>
      <c r="T92" s="264">
        <f t="shared" si="34"/>
        <v>0</v>
      </c>
      <c r="U92" s="264">
        <f t="shared" si="34"/>
        <v>0</v>
      </c>
      <c r="V92" s="264">
        <f t="shared" si="34"/>
        <v>0</v>
      </c>
      <c r="W92" s="264">
        <f t="shared" si="34"/>
        <v>0</v>
      </c>
      <c r="X92" s="264">
        <f t="shared" si="34"/>
        <v>0</v>
      </c>
      <c r="Y92" s="264">
        <f t="shared" si="34"/>
        <v>0</v>
      </c>
      <c r="Z92" s="264">
        <f t="shared" si="34"/>
        <v>0</v>
      </c>
      <c r="AA92" s="264">
        <f t="shared" si="34"/>
        <v>0</v>
      </c>
      <c r="AB92" s="264">
        <f t="shared" si="34"/>
        <v>0</v>
      </c>
      <c r="AC92" s="264">
        <f t="shared" si="34"/>
        <v>0</v>
      </c>
      <c r="AD92" s="264">
        <f t="shared" si="34"/>
        <v>0</v>
      </c>
      <c r="AE92" s="264">
        <f t="shared" si="34"/>
        <v>0</v>
      </c>
      <c r="AF92" s="264">
        <f t="shared" si="34"/>
        <v>0</v>
      </c>
      <c r="AG92" s="264">
        <f t="shared" si="34"/>
        <v>0</v>
      </c>
      <c r="AH92" s="264">
        <f t="shared" si="34"/>
        <v>0</v>
      </c>
      <c r="AI92" s="264">
        <f t="shared" si="34"/>
        <v>0</v>
      </c>
      <c r="AJ92" s="264">
        <f t="shared" si="34"/>
        <v>0</v>
      </c>
      <c r="AK92" s="264">
        <f t="shared" si="34"/>
        <v>0</v>
      </c>
      <c r="AL92" s="264">
        <f t="shared" si="34"/>
        <v>0</v>
      </c>
      <c r="AM92" s="264">
        <f t="shared" si="34"/>
        <v>0</v>
      </c>
      <c r="AN92" s="264">
        <f t="shared" si="34"/>
        <v>0</v>
      </c>
      <c r="AO92" s="264">
        <f t="shared" si="34"/>
        <v>0</v>
      </c>
      <c r="AP92" s="264">
        <f t="shared" si="34"/>
        <v>0</v>
      </c>
      <c r="AQ92" s="264">
        <f t="shared" si="34"/>
        <v>0</v>
      </c>
      <c r="AR92" s="264">
        <f t="shared" si="34"/>
        <v>0</v>
      </c>
      <c r="AS92" s="264">
        <f t="shared" si="34"/>
        <v>0</v>
      </c>
      <c r="AT92" s="264">
        <f t="shared" si="34"/>
        <v>0</v>
      </c>
      <c r="AU92" s="264">
        <f t="shared" si="34"/>
        <v>0</v>
      </c>
      <c r="AV92" s="264">
        <f t="shared" si="34"/>
        <v>0</v>
      </c>
      <c r="AW92" s="264">
        <f t="shared" si="34"/>
        <v>0</v>
      </c>
      <c r="AX92" s="264">
        <f t="shared" si="34"/>
        <v>0</v>
      </c>
      <c r="AY92" s="264">
        <f t="shared" si="34"/>
        <v>0</v>
      </c>
      <c r="AZ92" s="264">
        <f t="shared" si="34"/>
        <v>0</v>
      </c>
      <c r="BA92" s="264">
        <f t="shared" si="34"/>
        <v>0</v>
      </c>
      <c r="BB92" s="264">
        <f t="shared" si="34"/>
        <v>0</v>
      </c>
      <c r="BC92" s="264">
        <f t="shared" si="34"/>
        <v>0</v>
      </c>
      <c r="BD92" s="264">
        <f t="shared" si="34"/>
        <v>0</v>
      </c>
      <c r="BE92" s="1296">
        <f t="shared" si="34"/>
        <v>0</v>
      </c>
    </row>
    <row r="93" spans="2:57" x14ac:dyDescent="0.25">
      <c r="B93" s="253" t="s">
        <v>41</v>
      </c>
      <c r="C93" s="254"/>
      <c r="D93" s="254"/>
      <c r="E93" s="257"/>
      <c r="F93" s="257" t="s">
        <v>22</v>
      </c>
      <c r="G93" s="264"/>
      <c r="H93" s="264">
        <f>-H78</f>
        <v>0</v>
      </c>
      <c r="I93" s="264">
        <f>-I78</f>
        <v>0</v>
      </c>
      <c r="J93" s="264">
        <f>-J78</f>
        <v>0</v>
      </c>
      <c r="K93" s="264">
        <f t="shared" ref="K93:BE93" si="35">-K78</f>
        <v>0</v>
      </c>
      <c r="L93" s="264">
        <f t="shared" si="35"/>
        <v>0</v>
      </c>
      <c r="M93" s="264">
        <f t="shared" si="35"/>
        <v>0</v>
      </c>
      <c r="N93" s="264">
        <f t="shared" si="35"/>
        <v>0</v>
      </c>
      <c r="O93" s="264">
        <f t="shared" si="35"/>
        <v>0</v>
      </c>
      <c r="P93" s="264">
        <f t="shared" si="35"/>
        <v>0</v>
      </c>
      <c r="Q93" s="264">
        <f t="shared" si="35"/>
        <v>0</v>
      </c>
      <c r="R93" s="264">
        <f t="shared" si="35"/>
        <v>0</v>
      </c>
      <c r="S93" s="264">
        <f t="shared" si="35"/>
        <v>0</v>
      </c>
      <c r="T93" s="264">
        <f t="shared" si="35"/>
        <v>0</v>
      </c>
      <c r="U93" s="264">
        <f t="shared" si="35"/>
        <v>0</v>
      </c>
      <c r="V93" s="264">
        <f t="shared" si="35"/>
        <v>0</v>
      </c>
      <c r="W93" s="264">
        <f t="shared" si="35"/>
        <v>0</v>
      </c>
      <c r="X93" s="264">
        <f t="shared" si="35"/>
        <v>0</v>
      </c>
      <c r="Y93" s="264">
        <f t="shared" si="35"/>
        <v>0</v>
      </c>
      <c r="Z93" s="264">
        <f t="shared" si="35"/>
        <v>0</v>
      </c>
      <c r="AA93" s="264">
        <f t="shared" si="35"/>
        <v>0</v>
      </c>
      <c r="AB93" s="264">
        <f t="shared" si="35"/>
        <v>0</v>
      </c>
      <c r="AC93" s="264">
        <f t="shared" si="35"/>
        <v>0</v>
      </c>
      <c r="AD93" s="264">
        <f t="shared" si="35"/>
        <v>0</v>
      </c>
      <c r="AE93" s="264">
        <f t="shared" si="35"/>
        <v>0</v>
      </c>
      <c r="AF93" s="264">
        <f t="shared" si="35"/>
        <v>0</v>
      </c>
      <c r="AG93" s="264">
        <f t="shared" si="35"/>
        <v>0</v>
      </c>
      <c r="AH93" s="264">
        <f t="shared" si="35"/>
        <v>0</v>
      </c>
      <c r="AI93" s="264">
        <f t="shared" si="35"/>
        <v>0</v>
      </c>
      <c r="AJ93" s="264">
        <f t="shared" si="35"/>
        <v>0</v>
      </c>
      <c r="AK93" s="264">
        <f t="shared" si="35"/>
        <v>0</v>
      </c>
      <c r="AL93" s="264">
        <f t="shared" si="35"/>
        <v>0</v>
      </c>
      <c r="AM93" s="264">
        <f t="shared" si="35"/>
        <v>0</v>
      </c>
      <c r="AN93" s="264">
        <f t="shared" si="35"/>
        <v>0</v>
      </c>
      <c r="AO93" s="264">
        <f t="shared" si="35"/>
        <v>0</v>
      </c>
      <c r="AP93" s="264">
        <f t="shared" si="35"/>
        <v>0</v>
      </c>
      <c r="AQ93" s="264">
        <f t="shared" si="35"/>
        <v>0</v>
      </c>
      <c r="AR93" s="264">
        <f t="shared" si="35"/>
        <v>0</v>
      </c>
      <c r="AS93" s="264">
        <f t="shared" si="35"/>
        <v>0</v>
      </c>
      <c r="AT93" s="264">
        <f t="shared" si="35"/>
        <v>0</v>
      </c>
      <c r="AU93" s="264">
        <f t="shared" si="35"/>
        <v>0</v>
      </c>
      <c r="AV93" s="264">
        <f t="shared" si="35"/>
        <v>0</v>
      </c>
      <c r="AW93" s="264">
        <f t="shared" si="35"/>
        <v>0</v>
      </c>
      <c r="AX93" s="264">
        <f t="shared" si="35"/>
        <v>0</v>
      </c>
      <c r="AY93" s="264">
        <f t="shared" si="35"/>
        <v>0</v>
      </c>
      <c r="AZ93" s="264">
        <f t="shared" si="35"/>
        <v>0</v>
      </c>
      <c r="BA93" s="264">
        <f t="shared" si="35"/>
        <v>0</v>
      </c>
      <c r="BB93" s="264">
        <f t="shared" si="35"/>
        <v>0</v>
      </c>
      <c r="BC93" s="264">
        <f t="shared" si="35"/>
        <v>0</v>
      </c>
      <c r="BD93" s="264">
        <f t="shared" si="35"/>
        <v>0</v>
      </c>
      <c r="BE93" s="1296">
        <f t="shared" si="35"/>
        <v>0</v>
      </c>
    </row>
    <row r="94" spans="2:57" x14ac:dyDescent="0.25">
      <c r="B94" s="253" t="str">
        <f>B85</f>
        <v xml:space="preserve">Front-end Fees </v>
      </c>
      <c r="C94" s="254"/>
      <c r="D94" s="254"/>
      <c r="E94" s="257"/>
      <c r="F94" s="257" t="s">
        <v>22</v>
      </c>
      <c r="G94" s="264"/>
      <c r="H94" s="264">
        <f t="shared" ref="H94:J96" si="36">-H85</f>
        <v>0</v>
      </c>
      <c r="I94" s="264">
        <f t="shared" si="36"/>
        <v>0</v>
      </c>
      <c r="J94" s="264">
        <f t="shared" si="36"/>
        <v>0</v>
      </c>
      <c r="K94" s="264">
        <f t="shared" ref="K94:BE94" si="37">-K85</f>
        <v>0</v>
      </c>
      <c r="L94" s="264">
        <f t="shared" si="37"/>
        <v>0</v>
      </c>
      <c r="M94" s="264">
        <f t="shared" si="37"/>
        <v>0</v>
      </c>
      <c r="N94" s="264">
        <f t="shared" si="37"/>
        <v>0</v>
      </c>
      <c r="O94" s="264">
        <f t="shared" si="37"/>
        <v>0</v>
      </c>
      <c r="P94" s="264">
        <f t="shared" si="37"/>
        <v>0</v>
      </c>
      <c r="Q94" s="264">
        <f t="shared" si="37"/>
        <v>0</v>
      </c>
      <c r="R94" s="264">
        <f t="shared" si="37"/>
        <v>0</v>
      </c>
      <c r="S94" s="264">
        <f t="shared" si="37"/>
        <v>0</v>
      </c>
      <c r="T94" s="264">
        <f t="shared" si="37"/>
        <v>0</v>
      </c>
      <c r="U94" s="264">
        <f t="shared" si="37"/>
        <v>0</v>
      </c>
      <c r="V94" s="264">
        <f t="shared" si="37"/>
        <v>0</v>
      </c>
      <c r="W94" s="264">
        <f t="shared" si="37"/>
        <v>0</v>
      </c>
      <c r="X94" s="264">
        <f t="shared" si="37"/>
        <v>0</v>
      </c>
      <c r="Y94" s="264">
        <f t="shared" si="37"/>
        <v>0</v>
      </c>
      <c r="Z94" s="264">
        <f t="shared" si="37"/>
        <v>0</v>
      </c>
      <c r="AA94" s="264">
        <f t="shared" si="37"/>
        <v>0</v>
      </c>
      <c r="AB94" s="264">
        <f t="shared" si="37"/>
        <v>0</v>
      </c>
      <c r="AC94" s="264">
        <f t="shared" si="37"/>
        <v>0</v>
      </c>
      <c r="AD94" s="264">
        <f t="shared" si="37"/>
        <v>0</v>
      </c>
      <c r="AE94" s="264">
        <f t="shared" si="37"/>
        <v>0</v>
      </c>
      <c r="AF94" s="264">
        <f t="shared" si="37"/>
        <v>0</v>
      </c>
      <c r="AG94" s="264">
        <f t="shared" si="37"/>
        <v>0</v>
      </c>
      <c r="AH94" s="264">
        <f t="shared" si="37"/>
        <v>0</v>
      </c>
      <c r="AI94" s="264">
        <f t="shared" si="37"/>
        <v>0</v>
      </c>
      <c r="AJ94" s="264">
        <f t="shared" si="37"/>
        <v>0</v>
      </c>
      <c r="AK94" s="264">
        <f t="shared" si="37"/>
        <v>0</v>
      </c>
      <c r="AL94" s="264">
        <f t="shared" si="37"/>
        <v>0</v>
      </c>
      <c r="AM94" s="264">
        <f t="shared" si="37"/>
        <v>0</v>
      </c>
      <c r="AN94" s="264">
        <f t="shared" si="37"/>
        <v>0</v>
      </c>
      <c r="AO94" s="264">
        <f t="shared" si="37"/>
        <v>0</v>
      </c>
      <c r="AP94" s="264">
        <f t="shared" si="37"/>
        <v>0</v>
      </c>
      <c r="AQ94" s="264">
        <f t="shared" si="37"/>
        <v>0</v>
      </c>
      <c r="AR94" s="264">
        <f t="shared" si="37"/>
        <v>0</v>
      </c>
      <c r="AS94" s="264">
        <f t="shared" si="37"/>
        <v>0</v>
      </c>
      <c r="AT94" s="264">
        <f t="shared" si="37"/>
        <v>0</v>
      </c>
      <c r="AU94" s="264">
        <f t="shared" si="37"/>
        <v>0</v>
      </c>
      <c r="AV94" s="264">
        <f t="shared" si="37"/>
        <v>0</v>
      </c>
      <c r="AW94" s="264">
        <f t="shared" si="37"/>
        <v>0</v>
      </c>
      <c r="AX94" s="264">
        <f t="shared" si="37"/>
        <v>0</v>
      </c>
      <c r="AY94" s="264">
        <f t="shared" si="37"/>
        <v>0</v>
      </c>
      <c r="AZ94" s="264">
        <f t="shared" si="37"/>
        <v>0</v>
      </c>
      <c r="BA94" s="264">
        <f t="shared" si="37"/>
        <v>0</v>
      </c>
      <c r="BB94" s="264">
        <f t="shared" si="37"/>
        <v>0</v>
      </c>
      <c r="BC94" s="264">
        <f t="shared" si="37"/>
        <v>0</v>
      </c>
      <c r="BD94" s="264">
        <f t="shared" si="37"/>
        <v>0</v>
      </c>
      <c r="BE94" s="1296">
        <f t="shared" si="37"/>
        <v>0</v>
      </c>
    </row>
    <row r="95" spans="2:57" x14ac:dyDescent="0.25">
      <c r="B95" s="253" t="str">
        <f>B86</f>
        <v xml:space="preserve">Public Guarantee Fees </v>
      </c>
      <c r="C95" s="254"/>
      <c r="D95" s="254"/>
      <c r="E95" s="257"/>
      <c r="F95" s="257" t="s">
        <v>22</v>
      </c>
      <c r="G95" s="264"/>
      <c r="H95" s="264">
        <f t="shared" si="36"/>
        <v>0</v>
      </c>
      <c r="I95" s="264">
        <f t="shared" si="36"/>
        <v>0</v>
      </c>
      <c r="J95" s="264">
        <f t="shared" si="36"/>
        <v>0</v>
      </c>
      <c r="K95" s="264">
        <f t="shared" ref="K95:BE95" si="38">-K86</f>
        <v>0</v>
      </c>
      <c r="L95" s="264">
        <f t="shared" si="38"/>
        <v>0</v>
      </c>
      <c r="M95" s="264">
        <f t="shared" si="38"/>
        <v>0</v>
      </c>
      <c r="N95" s="264">
        <f t="shared" si="38"/>
        <v>0</v>
      </c>
      <c r="O95" s="264">
        <f t="shared" si="38"/>
        <v>0</v>
      </c>
      <c r="P95" s="264">
        <f t="shared" si="38"/>
        <v>0</v>
      </c>
      <c r="Q95" s="264">
        <f t="shared" si="38"/>
        <v>0</v>
      </c>
      <c r="R95" s="264">
        <f t="shared" si="38"/>
        <v>0</v>
      </c>
      <c r="S95" s="264">
        <f t="shared" si="38"/>
        <v>0</v>
      </c>
      <c r="T95" s="264">
        <f t="shared" si="38"/>
        <v>0</v>
      </c>
      <c r="U95" s="264">
        <f t="shared" si="38"/>
        <v>0</v>
      </c>
      <c r="V95" s="264">
        <f t="shared" si="38"/>
        <v>0</v>
      </c>
      <c r="W95" s="264">
        <f t="shared" si="38"/>
        <v>0</v>
      </c>
      <c r="X95" s="264">
        <f t="shared" si="38"/>
        <v>0</v>
      </c>
      <c r="Y95" s="264">
        <f t="shared" si="38"/>
        <v>0</v>
      </c>
      <c r="Z95" s="264">
        <f t="shared" si="38"/>
        <v>0</v>
      </c>
      <c r="AA95" s="264">
        <f t="shared" si="38"/>
        <v>0</v>
      </c>
      <c r="AB95" s="264">
        <f t="shared" si="38"/>
        <v>0</v>
      </c>
      <c r="AC95" s="264">
        <f t="shared" si="38"/>
        <v>0</v>
      </c>
      <c r="AD95" s="264">
        <f t="shared" si="38"/>
        <v>0</v>
      </c>
      <c r="AE95" s="264">
        <f t="shared" si="38"/>
        <v>0</v>
      </c>
      <c r="AF95" s="264">
        <f t="shared" si="38"/>
        <v>0</v>
      </c>
      <c r="AG95" s="264">
        <f t="shared" si="38"/>
        <v>0</v>
      </c>
      <c r="AH95" s="264">
        <f t="shared" si="38"/>
        <v>0</v>
      </c>
      <c r="AI95" s="264">
        <f t="shared" si="38"/>
        <v>0</v>
      </c>
      <c r="AJ95" s="264">
        <f t="shared" si="38"/>
        <v>0</v>
      </c>
      <c r="AK95" s="264">
        <f t="shared" si="38"/>
        <v>0</v>
      </c>
      <c r="AL95" s="264">
        <f t="shared" si="38"/>
        <v>0</v>
      </c>
      <c r="AM95" s="264">
        <f t="shared" si="38"/>
        <v>0</v>
      </c>
      <c r="AN95" s="264">
        <f t="shared" si="38"/>
        <v>0</v>
      </c>
      <c r="AO95" s="264">
        <f t="shared" si="38"/>
        <v>0</v>
      </c>
      <c r="AP95" s="264">
        <f t="shared" si="38"/>
        <v>0</v>
      </c>
      <c r="AQ95" s="264">
        <f t="shared" si="38"/>
        <v>0</v>
      </c>
      <c r="AR95" s="264">
        <f t="shared" si="38"/>
        <v>0</v>
      </c>
      <c r="AS95" s="264">
        <f t="shared" si="38"/>
        <v>0</v>
      </c>
      <c r="AT95" s="264">
        <f t="shared" si="38"/>
        <v>0</v>
      </c>
      <c r="AU95" s="264">
        <f t="shared" si="38"/>
        <v>0</v>
      </c>
      <c r="AV95" s="264">
        <f t="shared" si="38"/>
        <v>0</v>
      </c>
      <c r="AW95" s="264">
        <f t="shared" si="38"/>
        <v>0</v>
      </c>
      <c r="AX95" s="264">
        <f t="shared" si="38"/>
        <v>0</v>
      </c>
      <c r="AY95" s="264">
        <f t="shared" si="38"/>
        <v>0</v>
      </c>
      <c r="AZ95" s="264">
        <f t="shared" si="38"/>
        <v>0</v>
      </c>
      <c r="BA95" s="264">
        <f t="shared" si="38"/>
        <v>0</v>
      </c>
      <c r="BB95" s="264">
        <f t="shared" si="38"/>
        <v>0</v>
      </c>
      <c r="BC95" s="264">
        <f t="shared" si="38"/>
        <v>0</v>
      </c>
      <c r="BD95" s="264">
        <f t="shared" si="38"/>
        <v>0</v>
      </c>
      <c r="BE95" s="1296">
        <f t="shared" si="38"/>
        <v>0</v>
      </c>
    </row>
    <row r="96" spans="2:57" x14ac:dyDescent="0.25">
      <c r="B96" s="253" t="str">
        <f>B87</f>
        <v>Political Risk Insurance - Fees &amp; Annual Premium Payments</v>
      </c>
      <c r="C96" s="254"/>
      <c r="D96" s="254"/>
      <c r="E96" s="257"/>
      <c r="F96" s="257" t="s">
        <v>22</v>
      </c>
      <c r="G96" s="264"/>
      <c r="H96" s="264">
        <f t="shared" si="36"/>
        <v>0</v>
      </c>
      <c r="I96" s="264">
        <f t="shared" si="36"/>
        <v>0</v>
      </c>
      <c r="J96" s="264">
        <f t="shared" si="36"/>
        <v>0</v>
      </c>
      <c r="K96" s="264">
        <f t="shared" ref="K96:BE96" si="39">-K87</f>
        <v>0</v>
      </c>
      <c r="L96" s="264">
        <f t="shared" si="39"/>
        <v>0</v>
      </c>
      <c r="M96" s="264">
        <f t="shared" si="39"/>
        <v>0</v>
      </c>
      <c r="N96" s="264">
        <f t="shared" si="39"/>
        <v>0</v>
      </c>
      <c r="O96" s="264">
        <f t="shared" si="39"/>
        <v>0</v>
      </c>
      <c r="P96" s="264">
        <f t="shared" si="39"/>
        <v>0</v>
      </c>
      <c r="Q96" s="264">
        <f t="shared" si="39"/>
        <v>0</v>
      </c>
      <c r="R96" s="264">
        <f t="shared" si="39"/>
        <v>0</v>
      </c>
      <c r="S96" s="264">
        <f t="shared" si="39"/>
        <v>0</v>
      </c>
      <c r="T96" s="264">
        <f t="shared" si="39"/>
        <v>0</v>
      </c>
      <c r="U96" s="264">
        <f t="shared" si="39"/>
        <v>0</v>
      </c>
      <c r="V96" s="264">
        <f t="shared" si="39"/>
        <v>0</v>
      </c>
      <c r="W96" s="264">
        <f t="shared" si="39"/>
        <v>0</v>
      </c>
      <c r="X96" s="264">
        <f t="shared" si="39"/>
        <v>0</v>
      </c>
      <c r="Y96" s="264">
        <f t="shared" si="39"/>
        <v>0</v>
      </c>
      <c r="Z96" s="264">
        <f t="shared" si="39"/>
        <v>0</v>
      </c>
      <c r="AA96" s="264">
        <f t="shared" si="39"/>
        <v>0</v>
      </c>
      <c r="AB96" s="264">
        <f t="shared" si="39"/>
        <v>0</v>
      </c>
      <c r="AC96" s="264">
        <f t="shared" si="39"/>
        <v>0</v>
      </c>
      <c r="AD96" s="264">
        <f t="shared" si="39"/>
        <v>0</v>
      </c>
      <c r="AE96" s="264">
        <f t="shared" si="39"/>
        <v>0</v>
      </c>
      <c r="AF96" s="264">
        <f t="shared" si="39"/>
        <v>0</v>
      </c>
      <c r="AG96" s="264">
        <f t="shared" si="39"/>
        <v>0</v>
      </c>
      <c r="AH96" s="264">
        <f t="shared" si="39"/>
        <v>0</v>
      </c>
      <c r="AI96" s="264">
        <f t="shared" si="39"/>
        <v>0</v>
      </c>
      <c r="AJ96" s="264">
        <f t="shared" si="39"/>
        <v>0</v>
      </c>
      <c r="AK96" s="264">
        <f t="shared" si="39"/>
        <v>0</v>
      </c>
      <c r="AL96" s="264">
        <f t="shared" si="39"/>
        <v>0</v>
      </c>
      <c r="AM96" s="264">
        <f t="shared" si="39"/>
        <v>0</v>
      </c>
      <c r="AN96" s="264">
        <f t="shared" si="39"/>
        <v>0</v>
      </c>
      <c r="AO96" s="264">
        <f t="shared" si="39"/>
        <v>0</v>
      </c>
      <c r="AP96" s="264">
        <f t="shared" si="39"/>
        <v>0</v>
      </c>
      <c r="AQ96" s="264">
        <f t="shared" si="39"/>
        <v>0</v>
      </c>
      <c r="AR96" s="264">
        <f t="shared" si="39"/>
        <v>0</v>
      </c>
      <c r="AS96" s="264">
        <f t="shared" si="39"/>
        <v>0</v>
      </c>
      <c r="AT96" s="264">
        <f t="shared" si="39"/>
        <v>0</v>
      </c>
      <c r="AU96" s="264">
        <f t="shared" si="39"/>
        <v>0</v>
      </c>
      <c r="AV96" s="264">
        <f t="shared" si="39"/>
        <v>0</v>
      </c>
      <c r="AW96" s="264">
        <f t="shared" si="39"/>
        <v>0</v>
      </c>
      <c r="AX96" s="264">
        <f t="shared" si="39"/>
        <v>0</v>
      </c>
      <c r="AY96" s="264">
        <f t="shared" si="39"/>
        <v>0</v>
      </c>
      <c r="AZ96" s="264">
        <f t="shared" si="39"/>
        <v>0</v>
      </c>
      <c r="BA96" s="264">
        <f t="shared" si="39"/>
        <v>0</v>
      </c>
      <c r="BB96" s="264">
        <f t="shared" si="39"/>
        <v>0</v>
      </c>
      <c r="BC96" s="264">
        <f t="shared" si="39"/>
        <v>0</v>
      </c>
      <c r="BD96" s="264">
        <f t="shared" si="39"/>
        <v>0</v>
      </c>
      <c r="BE96" s="1296">
        <f t="shared" si="39"/>
        <v>0</v>
      </c>
    </row>
    <row r="97" spans="2:57" x14ac:dyDescent="0.25">
      <c r="B97" s="253" t="s">
        <v>102</v>
      </c>
      <c r="C97" s="254"/>
      <c r="D97" s="254"/>
      <c r="E97" s="257"/>
      <c r="F97" s="257" t="s">
        <v>22</v>
      </c>
      <c r="G97" s="264"/>
      <c r="H97" s="264">
        <f>-(H387+H408+H429)</f>
        <v>0</v>
      </c>
      <c r="I97" s="264">
        <f>-(I387+I408+I429)</f>
        <v>0</v>
      </c>
      <c r="J97" s="264">
        <f>-(J387+J408+J429)</f>
        <v>0</v>
      </c>
      <c r="K97" s="264">
        <f t="shared" ref="K97:BE97" si="40">-(K387+K408+K429)</f>
        <v>0</v>
      </c>
      <c r="L97" s="264">
        <f t="shared" si="40"/>
        <v>0</v>
      </c>
      <c r="M97" s="264">
        <f t="shared" si="40"/>
        <v>0</v>
      </c>
      <c r="N97" s="264">
        <f t="shared" si="40"/>
        <v>0</v>
      </c>
      <c r="O97" s="264">
        <f t="shared" si="40"/>
        <v>0</v>
      </c>
      <c r="P97" s="264">
        <f t="shared" si="40"/>
        <v>0</v>
      </c>
      <c r="Q97" s="264">
        <f t="shared" si="40"/>
        <v>0</v>
      </c>
      <c r="R97" s="264">
        <f t="shared" si="40"/>
        <v>0</v>
      </c>
      <c r="S97" s="264">
        <f t="shared" si="40"/>
        <v>0</v>
      </c>
      <c r="T97" s="264">
        <f t="shared" si="40"/>
        <v>0</v>
      </c>
      <c r="U97" s="264">
        <f t="shared" si="40"/>
        <v>0</v>
      </c>
      <c r="V97" s="264">
        <f t="shared" si="40"/>
        <v>0</v>
      </c>
      <c r="W97" s="264">
        <f t="shared" si="40"/>
        <v>0</v>
      </c>
      <c r="X97" s="264">
        <f t="shared" si="40"/>
        <v>0</v>
      </c>
      <c r="Y97" s="264">
        <f t="shared" si="40"/>
        <v>0</v>
      </c>
      <c r="Z97" s="264">
        <f t="shared" si="40"/>
        <v>0</v>
      </c>
      <c r="AA97" s="264">
        <f t="shared" si="40"/>
        <v>0</v>
      </c>
      <c r="AB97" s="264">
        <f t="shared" si="40"/>
        <v>0</v>
      </c>
      <c r="AC97" s="264">
        <f t="shared" si="40"/>
        <v>0</v>
      </c>
      <c r="AD97" s="264">
        <f t="shared" si="40"/>
        <v>0</v>
      </c>
      <c r="AE97" s="264">
        <f t="shared" si="40"/>
        <v>0</v>
      </c>
      <c r="AF97" s="264">
        <f t="shared" si="40"/>
        <v>0</v>
      </c>
      <c r="AG97" s="264">
        <f t="shared" si="40"/>
        <v>0</v>
      </c>
      <c r="AH97" s="264">
        <f t="shared" si="40"/>
        <v>0</v>
      </c>
      <c r="AI97" s="264">
        <f t="shared" si="40"/>
        <v>0</v>
      </c>
      <c r="AJ97" s="264">
        <f t="shared" si="40"/>
        <v>0</v>
      </c>
      <c r="AK97" s="264">
        <f t="shared" si="40"/>
        <v>0</v>
      </c>
      <c r="AL97" s="264">
        <f t="shared" si="40"/>
        <v>0</v>
      </c>
      <c r="AM97" s="264">
        <f t="shared" si="40"/>
        <v>0</v>
      </c>
      <c r="AN97" s="264">
        <f t="shared" si="40"/>
        <v>0</v>
      </c>
      <c r="AO97" s="264">
        <f t="shared" si="40"/>
        <v>0</v>
      </c>
      <c r="AP97" s="264">
        <f t="shared" si="40"/>
        <v>0</v>
      </c>
      <c r="AQ97" s="264">
        <f t="shared" si="40"/>
        <v>0</v>
      </c>
      <c r="AR97" s="264">
        <f t="shared" si="40"/>
        <v>0</v>
      </c>
      <c r="AS97" s="264">
        <f t="shared" si="40"/>
        <v>0</v>
      </c>
      <c r="AT97" s="264">
        <f t="shared" si="40"/>
        <v>0</v>
      </c>
      <c r="AU97" s="264">
        <f t="shared" si="40"/>
        <v>0</v>
      </c>
      <c r="AV97" s="264">
        <f t="shared" si="40"/>
        <v>0</v>
      </c>
      <c r="AW97" s="264">
        <f t="shared" si="40"/>
        <v>0</v>
      </c>
      <c r="AX97" s="264">
        <f t="shared" si="40"/>
        <v>0</v>
      </c>
      <c r="AY97" s="264">
        <f t="shared" si="40"/>
        <v>0</v>
      </c>
      <c r="AZ97" s="264">
        <f t="shared" si="40"/>
        <v>0</v>
      </c>
      <c r="BA97" s="264">
        <f t="shared" si="40"/>
        <v>0</v>
      </c>
      <c r="BB97" s="264">
        <f t="shared" si="40"/>
        <v>0</v>
      </c>
      <c r="BC97" s="264">
        <f t="shared" si="40"/>
        <v>0</v>
      </c>
      <c r="BD97" s="264">
        <f t="shared" si="40"/>
        <v>0</v>
      </c>
      <c r="BE97" s="1296">
        <f t="shared" si="40"/>
        <v>0</v>
      </c>
    </row>
    <row r="98" spans="2:57" x14ac:dyDescent="0.25">
      <c r="B98" s="266" t="s">
        <v>103</v>
      </c>
      <c r="C98" s="261"/>
      <c r="D98" s="261"/>
      <c r="E98" s="262"/>
      <c r="F98" s="262" t="s">
        <v>22</v>
      </c>
      <c r="G98" s="1297"/>
      <c r="H98" s="1297">
        <f>(H70+H78+H80+H85+H86+H87+H82+H83+H84)*'II. Inputs, Baseline Energy Mix'!$O$19</f>
        <v>0</v>
      </c>
      <c r="I98" s="1297">
        <f>(I70+I78+I80+I85+I86+I87+I82+I83+I84)*'II. Inputs, Baseline Energy Mix'!$O$19</f>
        <v>0</v>
      </c>
      <c r="J98" s="1297">
        <f>(J70+J78+J80+J85+J86+J87+J82+J83+J84)*'II. Inputs, Baseline Energy Mix'!$O$19</f>
        <v>0</v>
      </c>
      <c r="K98" s="1297">
        <f>(K70+K78+K80+K85+K86+K87+K82+K83+K84)*'II. Inputs, Baseline Energy Mix'!$O$19</f>
        <v>0</v>
      </c>
      <c r="L98" s="1297">
        <f>(L70+L78+L80+L85+L86+L87+L82+L83+L84)*'II. Inputs, Baseline Energy Mix'!$O$19</f>
        <v>0</v>
      </c>
      <c r="M98" s="1297">
        <f>(M70+M78+M80+M85+M86+M87+M82+M83+M84)*'II. Inputs, Baseline Energy Mix'!$O$19</f>
        <v>0</v>
      </c>
      <c r="N98" s="1297">
        <f>(N70+N78+N80+N85+N86+N87+N82+N83+N84)*'II. Inputs, Baseline Energy Mix'!$O$19</f>
        <v>0</v>
      </c>
      <c r="O98" s="1297">
        <f>(O70+O78+O80+O85+O86+O87+O82+O83+O84)*'II. Inputs, Baseline Energy Mix'!$O$19</f>
        <v>0</v>
      </c>
      <c r="P98" s="1297">
        <f>(P70+P78+P80+P85+P86+P87+P82+P83+P84)*'II. Inputs, Baseline Energy Mix'!$O$19</f>
        <v>0</v>
      </c>
      <c r="Q98" s="1297">
        <f>(Q70+Q78+Q80+Q85+Q86+Q87+Q82+Q83+Q84)*'II. Inputs, Baseline Energy Mix'!$O$19</f>
        <v>0</v>
      </c>
      <c r="R98" s="1297">
        <f>(R70+R78+R80+R85+R86+R87+R82+R83+R84)*'II. Inputs, Baseline Energy Mix'!$O$19</f>
        <v>0</v>
      </c>
      <c r="S98" s="1297">
        <f>(S70+S78+S80+S85+S86+S87+S82+S83+S84)*'II. Inputs, Baseline Energy Mix'!$O$19</f>
        <v>0</v>
      </c>
      <c r="T98" s="1297">
        <f>(T70+T78+T80+T85+T86+T87+T82+T83+T84)*'II. Inputs, Baseline Energy Mix'!$O$19</f>
        <v>0</v>
      </c>
      <c r="U98" s="1297">
        <f>(U70+U78+U80+U85+U86+U87+U82+U83+U84)*'II. Inputs, Baseline Energy Mix'!$O$19</f>
        <v>0</v>
      </c>
      <c r="V98" s="1297">
        <f>(V70+V78+V80+V85+V86+V87+V82+V83+V84)*'II. Inputs, Baseline Energy Mix'!$O$19</f>
        <v>0</v>
      </c>
      <c r="W98" s="1297">
        <f>(W70+W78+W80+W85+W86+W87+W82+W83+W84)*'II. Inputs, Baseline Energy Mix'!$O$19</f>
        <v>0</v>
      </c>
      <c r="X98" s="1297">
        <f>(X70+X78+X80+X85+X86+X87+X82+X83+X84)*'II. Inputs, Baseline Energy Mix'!$O$19</f>
        <v>0</v>
      </c>
      <c r="Y98" s="1297">
        <f>(Y70+Y78+Y80+Y85+Y86+Y87+Y82+Y83+Y84)*'II. Inputs, Baseline Energy Mix'!$O$19</f>
        <v>0</v>
      </c>
      <c r="Z98" s="1297">
        <f>(Z70+Z78+Z80+Z85+Z86+Z87+Z82+Z83+Z84)*'II. Inputs, Baseline Energy Mix'!$O$19</f>
        <v>0</v>
      </c>
      <c r="AA98" s="1297">
        <f>(AA70+AA78+AA80+AA85+AA86+AA87+AA82+AA83+AA84)*'II. Inputs, Baseline Energy Mix'!$O$19</f>
        <v>0</v>
      </c>
      <c r="AB98" s="1297">
        <f>(AB70+AB78+AB80+AB85+AB86+AB87+AB82+AB83+AB84)*'II. Inputs, Baseline Energy Mix'!$O$19</f>
        <v>0</v>
      </c>
      <c r="AC98" s="1297">
        <f>(AC70+AC78+AC80+AC85+AC86+AC87+AC82+AC83+AC84)*'II. Inputs, Baseline Energy Mix'!$O$19</f>
        <v>0</v>
      </c>
      <c r="AD98" s="1297">
        <f>(AD70+AD78+AD80+AD85+AD86+AD87+AD82+AD83+AD84)*'II. Inputs, Baseline Energy Mix'!$O$19</f>
        <v>0</v>
      </c>
      <c r="AE98" s="1297">
        <f>(AE70+AE78+AE80+AE85+AE86+AE87+AE82+AE83+AE84)*'II. Inputs, Baseline Energy Mix'!$O$19</f>
        <v>0</v>
      </c>
      <c r="AF98" s="1297">
        <f>(AF70+AF78+AF80+AF85+AF86+AF87+AF82+AF83+AF84)*'II. Inputs, Baseline Energy Mix'!$O$19</f>
        <v>0</v>
      </c>
      <c r="AG98" s="1297">
        <f>(AG70+AG78+AG80+AG85+AG86+AG87+AG82+AG83+AG84)*'II. Inputs, Baseline Energy Mix'!$O$19</f>
        <v>0</v>
      </c>
      <c r="AH98" s="1297">
        <f>(AH70+AH78+AH80+AH85+AH86+AH87+AH82+AH83+AH84)*'II. Inputs, Baseline Energy Mix'!$O$19</f>
        <v>0</v>
      </c>
      <c r="AI98" s="1297">
        <f>(AI70+AI78+AI80+AI85+AI86+AI87+AI82+AI83+AI84)*'II. Inputs, Baseline Energy Mix'!$O$19</f>
        <v>0</v>
      </c>
      <c r="AJ98" s="1297">
        <f>(AJ70+AJ78+AJ80+AJ85+AJ86+AJ87+AJ82+AJ83+AJ84)*'II. Inputs, Baseline Energy Mix'!$O$19</f>
        <v>0</v>
      </c>
      <c r="AK98" s="1297">
        <f>(AK70+AK78+AK80+AK85+AK86+AK87+AK82+AK83+AK84)*'II. Inputs, Baseline Energy Mix'!$O$19</f>
        <v>0</v>
      </c>
      <c r="AL98" s="1297">
        <f>(AL70+AL78+AL80+AL85+AL86+AL87+AL82+AL83+AL84)*'II. Inputs, Baseline Energy Mix'!$O$19</f>
        <v>0</v>
      </c>
      <c r="AM98" s="1297">
        <f>(AM70+AM78+AM80+AM85+AM86+AM87+AM82+AM83+AM84)*'II. Inputs, Baseline Energy Mix'!$O$19</f>
        <v>0</v>
      </c>
      <c r="AN98" s="1297">
        <f>(AN70+AN78+AN80+AN85+AN86+AN87+AN82+AN83+AN84)*'II. Inputs, Baseline Energy Mix'!$O$19</f>
        <v>0</v>
      </c>
      <c r="AO98" s="1297">
        <f>(AO70+AO78+AO80+AO85+AO86+AO87+AO82+AO83+AO84)*'II. Inputs, Baseline Energy Mix'!$O$19</f>
        <v>0</v>
      </c>
      <c r="AP98" s="1297">
        <f>(AP70+AP78+AP80+AP85+AP86+AP87+AP82+AP83+AP84)*'II. Inputs, Baseline Energy Mix'!$O$19</f>
        <v>0</v>
      </c>
      <c r="AQ98" s="1297">
        <f>(AQ70+AQ78+AQ80+AQ85+AQ86+AQ87+AQ82+AQ83+AQ84)*'II. Inputs, Baseline Energy Mix'!$O$19</f>
        <v>0</v>
      </c>
      <c r="AR98" s="1297">
        <f>(AR70+AR78+AR80+AR85+AR86+AR87+AR82+AR83+AR84)*'II. Inputs, Baseline Energy Mix'!$O$19</f>
        <v>0</v>
      </c>
      <c r="AS98" s="1297">
        <f>(AS70+AS78+AS80+AS85+AS86+AS87+AS82+AS83+AS84)*'II. Inputs, Baseline Energy Mix'!$O$19</f>
        <v>0</v>
      </c>
      <c r="AT98" s="1297">
        <f>(AT70+AT78+AT80+AT85+AT86+AT87+AT82+AT83+AT84)*'II. Inputs, Baseline Energy Mix'!$O$19</f>
        <v>0</v>
      </c>
      <c r="AU98" s="1297">
        <f>(AU70+AU78+AU80+AU85+AU86+AU87+AU82+AU83+AU84)*'II. Inputs, Baseline Energy Mix'!$O$19</f>
        <v>0</v>
      </c>
      <c r="AV98" s="1297">
        <f>(AV70+AV78+AV80+AV85+AV86+AV87+AV82+AV83+AV84)*'II. Inputs, Baseline Energy Mix'!$O$19</f>
        <v>0</v>
      </c>
      <c r="AW98" s="1297">
        <f>(AW70+AW78+AW80+AW85+AW86+AW87+AW82+AW83+AW84)*'II. Inputs, Baseline Energy Mix'!$O$19</f>
        <v>0</v>
      </c>
      <c r="AX98" s="1297">
        <f>(AX70+AX78+AX80+AX85+AX86+AX87+AX82+AX83+AX84)*'II. Inputs, Baseline Energy Mix'!$O$19</f>
        <v>0</v>
      </c>
      <c r="AY98" s="1297">
        <f>(AY70+AY78+AY80+AY85+AY86+AY87+AY82+AY83+AY84)*'II. Inputs, Baseline Energy Mix'!$O$19</f>
        <v>0</v>
      </c>
      <c r="AZ98" s="1297">
        <f>(AZ70+AZ78+AZ80+AZ85+AZ86+AZ87+AZ82+AZ83+AZ84)*'II. Inputs, Baseline Energy Mix'!$O$19</f>
        <v>0</v>
      </c>
      <c r="BA98" s="1297">
        <f>(BA70+BA78+BA80+BA85+BA86+BA87+BA82+BA83+BA84)*'II. Inputs, Baseline Energy Mix'!$O$19</f>
        <v>0</v>
      </c>
      <c r="BB98" s="1297">
        <f>(BB70+BB78+BB80+BB85+BB86+BB87+BB82+BB83+BB84)*'II. Inputs, Baseline Energy Mix'!$O$19</f>
        <v>0</v>
      </c>
      <c r="BC98" s="1297">
        <f>(BC70+BC78+BC80+BC85+BC86+BC87+BC82+BC83+BC84)*'II. Inputs, Baseline Energy Mix'!$O$19</f>
        <v>0</v>
      </c>
      <c r="BD98" s="1297">
        <f>(BD70+BD78+BD80+BD85+BD86+BD87+BD82+BD83+BD84)*'II. Inputs, Baseline Energy Mix'!$O$19</f>
        <v>0</v>
      </c>
      <c r="BE98" s="1298">
        <f>(BE70+BE78+BE80+BE85+BE86+BE87+BE82+BE83+BE84)*'II. Inputs, Baseline Energy Mix'!$O$19</f>
        <v>0</v>
      </c>
    </row>
    <row r="99" spans="2:57" x14ac:dyDescent="0.25">
      <c r="B99" s="253" t="s">
        <v>104</v>
      </c>
      <c r="C99" s="254"/>
      <c r="D99" s="254"/>
      <c r="E99" s="257"/>
      <c r="F99" s="257" t="s">
        <v>22</v>
      </c>
      <c r="G99" s="264">
        <f>-IF('II. Inputs, Baseline Energy Mix'!$O$15&gt;0, 'II. Inputs, Baseline Energy Mix'!$O$16*'II. Inputs, Baseline Energy Mix'!$O$17*'II. Inputs, Baseline Energy Mix'!$O$29,0)</f>
        <v>0</v>
      </c>
      <c r="H99" s="264">
        <f>SUM(H92:H98)</f>
        <v>0</v>
      </c>
      <c r="I99" s="264">
        <f>SUM(I92:I98)</f>
        <v>0</v>
      </c>
      <c r="J99" s="264">
        <f>SUM(J92:J98)</f>
        <v>0</v>
      </c>
      <c r="K99" s="264">
        <f t="shared" ref="K99:BE99" si="41">SUM(K92:K98)</f>
        <v>0</v>
      </c>
      <c r="L99" s="264">
        <f t="shared" si="41"/>
        <v>0</v>
      </c>
      <c r="M99" s="264">
        <f t="shared" si="41"/>
        <v>0</v>
      </c>
      <c r="N99" s="264">
        <f t="shared" si="41"/>
        <v>0</v>
      </c>
      <c r="O99" s="264">
        <f t="shared" si="41"/>
        <v>0</v>
      </c>
      <c r="P99" s="264">
        <f t="shared" si="41"/>
        <v>0</v>
      </c>
      <c r="Q99" s="264">
        <f t="shared" si="41"/>
        <v>0</v>
      </c>
      <c r="R99" s="264">
        <f t="shared" si="41"/>
        <v>0</v>
      </c>
      <c r="S99" s="264">
        <f t="shared" si="41"/>
        <v>0</v>
      </c>
      <c r="T99" s="264">
        <f t="shared" si="41"/>
        <v>0</v>
      </c>
      <c r="U99" s="264">
        <f t="shared" si="41"/>
        <v>0</v>
      </c>
      <c r="V99" s="264">
        <f t="shared" si="41"/>
        <v>0</v>
      </c>
      <c r="W99" s="264">
        <f t="shared" si="41"/>
        <v>0</v>
      </c>
      <c r="X99" s="264">
        <f t="shared" si="41"/>
        <v>0</v>
      </c>
      <c r="Y99" s="264">
        <f t="shared" si="41"/>
        <v>0</v>
      </c>
      <c r="Z99" s="264">
        <f t="shared" si="41"/>
        <v>0</v>
      </c>
      <c r="AA99" s="264">
        <f t="shared" si="41"/>
        <v>0</v>
      </c>
      <c r="AB99" s="264">
        <f t="shared" si="41"/>
        <v>0</v>
      </c>
      <c r="AC99" s="264">
        <f t="shared" si="41"/>
        <v>0</v>
      </c>
      <c r="AD99" s="264">
        <f t="shared" si="41"/>
        <v>0</v>
      </c>
      <c r="AE99" s="264">
        <f t="shared" si="41"/>
        <v>0</v>
      </c>
      <c r="AF99" s="264">
        <f t="shared" si="41"/>
        <v>0</v>
      </c>
      <c r="AG99" s="264">
        <f t="shared" si="41"/>
        <v>0</v>
      </c>
      <c r="AH99" s="264">
        <f t="shared" si="41"/>
        <v>0</v>
      </c>
      <c r="AI99" s="264">
        <f t="shared" si="41"/>
        <v>0</v>
      </c>
      <c r="AJ99" s="264">
        <f t="shared" si="41"/>
        <v>0</v>
      </c>
      <c r="AK99" s="264">
        <f t="shared" si="41"/>
        <v>0</v>
      </c>
      <c r="AL99" s="264">
        <f t="shared" si="41"/>
        <v>0</v>
      </c>
      <c r="AM99" s="264">
        <f t="shared" si="41"/>
        <v>0</v>
      </c>
      <c r="AN99" s="264">
        <f t="shared" si="41"/>
        <v>0</v>
      </c>
      <c r="AO99" s="264">
        <f t="shared" si="41"/>
        <v>0</v>
      </c>
      <c r="AP99" s="264">
        <f t="shared" si="41"/>
        <v>0</v>
      </c>
      <c r="AQ99" s="264">
        <f t="shared" si="41"/>
        <v>0</v>
      </c>
      <c r="AR99" s="264">
        <f t="shared" si="41"/>
        <v>0</v>
      </c>
      <c r="AS99" s="264">
        <f t="shared" si="41"/>
        <v>0</v>
      </c>
      <c r="AT99" s="264">
        <f t="shared" si="41"/>
        <v>0</v>
      </c>
      <c r="AU99" s="264">
        <f t="shared" si="41"/>
        <v>0</v>
      </c>
      <c r="AV99" s="264">
        <f t="shared" si="41"/>
        <v>0</v>
      </c>
      <c r="AW99" s="264">
        <f t="shared" si="41"/>
        <v>0</v>
      </c>
      <c r="AX99" s="264">
        <f t="shared" si="41"/>
        <v>0</v>
      </c>
      <c r="AY99" s="264">
        <f t="shared" si="41"/>
        <v>0</v>
      </c>
      <c r="AZ99" s="264">
        <f t="shared" si="41"/>
        <v>0</v>
      </c>
      <c r="BA99" s="264">
        <f t="shared" si="41"/>
        <v>0</v>
      </c>
      <c r="BB99" s="264">
        <f t="shared" si="41"/>
        <v>0</v>
      </c>
      <c r="BC99" s="264">
        <f t="shared" si="41"/>
        <v>0</v>
      </c>
      <c r="BD99" s="264">
        <f t="shared" si="41"/>
        <v>0</v>
      </c>
      <c r="BE99" s="1296">
        <f t="shared" si="41"/>
        <v>0</v>
      </c>
    </row>
    <row r="100" spans="2:57" x14ac:dyDescent="0.25">
      <c r="B100" s="253"/>
      <c r="C100" s="254"/>
      <c r="D100" s="254"/>
      <c r="E100" s="257"/>
      <c r="F100" s="254"/>
      <c r="G100" s="254"/>
      <c r="H100" s="254"/>
      <c r="I100" s="26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5"/>
    </row>
    <row r="101" spans="2:57" x14ac:dyDescent="0.25">
      <c r="B101" s="253" t="s">
        <v>105</v>
      </c>
      <c r="C101" s="254"/>
      <c r="D101" s="254"/>
      <c r="E101" s="257"/>
      <c r="F101" s="254"/>
      <c r="G101" s="1100">
        <f>'II. Inputs, Baseline Energy Mix'!$O$37</f>
        <v>0.153</v>
      </c>
      <c r="H101" s="254"/>
      <c r="I101" s="26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5"/>
    </row>
    <row r="102" spans="2:57" x14ac:dyDescent="0.25">
      <c r="B102" s="253" t="s">
        <v>106</v>
      </c>
      <c r="C102" s="254"/>
      <c r="D102" s="254"/>
      <c r="E102" s="257"/>
      <c r="F102" s="254"/>
      <c r="G102" s="264">
        <f>IF(G101="NA", "NA", NPV(G101,H99:BE99)+G99)</f>
        <v>0</v>
      </c>
      <c r="H102" s="254"/>
      <c r="I102" s="26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5"/>
    </row>
    <row r="103" spans="2:57" x14ac:dyDescent="0.25">
      <c r="B103" s="253" t="s">
        <v>107</v>
      </c>
      <c r="C103" s="254"/>
      <c r="D103" s="254"/>
      <c r="E103" s="257"/>
      <c r="F103" s="254"/>
      <c r="G103" s="264">
        <f>IF(G101="NA", "NA", -NPV(G101,H66:BE66))</f>
        <v>0</v>
      </c>
      <c r="H103" s="254"/>
      <c r="I103" s="26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4"/>
      <c r="AZ103" s="254"/>
      <c r="BA103" s="254"/>
      <c r="BB103" s="254"/>
      <c r="BC103" s="254"/>
      <c r="BD103" s="254"/>
      <c r="BE103" s="255"/>
    </row>
    <row r="104" spans="2:57" ht="13.8" thickBot="1" x14ac:dyDescent="0.3">
      <c r="B104" s="253" t="s">
        <v>108</v>
      </c>
      <c r="C104" s="254"/>
      <c r="D104" s="254"/>
      <c r="E104" s="257"/>
      <c r="F104" s="257" t="s">
        <v>625</v>
      </c>
      <c r="G104" s="1299" t="str">
        <f>IF(OR(G103=0,G101="NA"), "NA", G102/G103)</f>
        <v>NA</v>
      </c>
      <c r="H104" s="254"/>
      <c r="I104" s="26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4"/>
      <c r="AZ104" s="254"/>
      <c r="BA104" s="254"/>
      <c r="BB104" s="254"/>
      <c r="BC104" s="254"/>
      <c r="BD104" s="254"/>
      <c r="BE104" s="255"/>
    </row>
    <row r="105" spans="2:57" ht="13.8" thickBot="1" x14ac:dyDescent="0.3">
      <c r="B105" s="267" t="s">
        <v>109</v>
      </c>
      <c r="C105" s="268"/>
      <c r="D105" s="268"/>
      <c r="E105" s="269"/>
      <c r="F105" s="269" t="s">
        <v>626</v>
      </c>
      <c r="G105" s="1300" t="str">
        <f>IF(G104="NA", "NA", $G$104/(1-'II. Inputs, Baseline Energy Mix'!$O$19))</f>
        <v>NA</v>
      </c>
      <c r="H105" s="254"/>
      <c r="I105" s="26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5"/>
    </row>
    <row r="106" spans="2:57" ht="13.8" thickBot="1" x14ac:dyDescent="0.3">
      <c r="B106" s="270"/>
      <c r="C106" s="271"/>
      <c r="D106" s="271"/>
      <c r="E106" s="271"/>
      <c r="F106" s="271"/>
      <c r="G106" s="271"/>
      <c r="H106" s="271"/>
      <c r="I106" s="272"/>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3"/>
    </row>
    <row r="107" spans="2:57" x14ac:dyDescent="0.25">
      <c r="I107" s="249"/>
    </row>
    <row r="108" spans="2:57" x14ac:dyDescent="0.25">
      <c r="B108" s="213" t="s">
        <v>58</v>
      </c>
      <c r="C108" s="214"/>
      <c r="D108" s="214"/>
      <c r="E108" s="215"/>
      <c r="F108" s="214"/>
      <c r="G108" s="215">
        <v>0</v>
      </c>
      <c r="H108" s="215">
        <v>1</v>
      </c>
      <c r="I108" s="215">
        <v>2</v>
      </c>
      <c r="J108" s="215">
        <v>3</v>
      </c>
      <c r="K108" s="215">
        <v>4</v>
      </c>
      <c r="L108" s="215">
        <v>5</v>
      </c>
      <c r="M108" s="215">
        <v>6</v>
      </c>
      <c r="N108" s="215">
        <v>7</v>
      </c>
      <c r="O108" s="215">
        <v>8</v>
      </c>
      <c r="P108" s="215">
        <v>9</v>
      </c>
      <c r="Q108" s="215">
        <v>10</v>
      </c>
      <c r="R108" s="215">
        <v>11</v>
      </c>
      <c r="S108" s="215">
        <v>12</v>
      </c>
      <c r="T108" s="215">
        <v>13</v>
      </c>
      <c r="U108" s="215">
        <v>14</v>
      </c>
      <c r="V108" s="215">
        <v>15</v>
      </c>
      <c r="W108" s="215">
        <v>16</v>
      </c>
      <c r="X108" s="215">
        <v>17</v>
      </c>
      <c r="Y108" s="215">
        <v>18</v>
      </c>
      <c r="Z108" s="215">
        <v>19</v>
      </c>
      <c r="AA108" s="215">
        <v>20</v>
      </c>
      <c r="AB108" s="215">
        <v>21</v>
      </c>
      <c r="AC108" s="215">
        <v>22</v>
      </c>
      <c r="AD108" s="215">
        <v>23</v>
      </c>
      <c r="AE108" s="215">
        <v>24</v>
      </c>
      <c r="AF108" s="215">
        <v>25</v>
      </c>
      <c r="AG108" s="215">
        <v>26</v>
      </c>
      <c r="AH108" s="215">
        <v>27</v>
      </c>
      <c r="AI108" s="215">
        <v>28</v>
      </c>
      <c r="AJ108" s="215">
        <v>29</v>
      </c>
      <c r="AK108" s="215">
        <v>30</v>
      </c>
      <c r="AL108" s="215">
        <v>31</v>
      </c>
      <c r="AM108" s="215">
        <v>32</v>
      </c>
      <c r="AN108" s="215">
        <v>33</v>
      </c>
      <c r="AO108" s="215">
        <v>34</v>
      </c>
      <c r="AP108" s="215">
        <v>35</v>
      </c>
      <c r="AQ108" s="215">
        <v>36</v>
      </c>
      <c r="AR108" s="215">
        <v>37</v>
      </c>
      <c r="AS108" s="215">
        <v>38</v>
      </c>
      <c r="AT108" s="215">
        <v>39</v>
      </c>
      <c r="AU108" s="215">
        <v>40</v>
      </c>
      <c r="AV108" s="215">
        <v>41</v>
      </c>
      <c r="AW108" s="215">
        <v>42</v>
      </c>
      <c r="AX108" s="215">
        <v>43</v>
      </c>
      <c r="AY108" s="215">
        <v>44</v>
      </c>
      <c r="AZ108" s="215">
        <v>45</v>
      </c>
      <c r="BA108" s="215">
        <v>46</v>
      </c>
      <c r="BB108" s="215">
        <v>47</v>
      </c>
      <c r="BC108" s="215">
        <v>48</v>
      </c>
      <c r="BD108" s="215">
        <v>49</v>
      </c>
      <c r="BE108" s="215">
        <v>50</v>
      </c>
    </row>
    <row r="109" spans="2:57" ht="13.8" thickBot="1" x14ac:dyDescent="0.3">
      <c r="B109" s="1061"/>
      <c r="C109" s="43"/>
      <c r="D109" s="43"/>
      <c r="E109" s="207"/>
      <c r="F109" s="43"/>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7"/>
      <c r="AZ109" s="207"/>
      <c r="BA109" s="207"/>
      <c r="BB109" s="207"/>
      <c r="BC109" s="207"/>
      <c r="BD109" s="207"/>
      <c r="BE109" s="207"/>
    </row>
    <row r="110" spans="2:57" s="36" customFormat="1" x14ac:dyDescent="0.25">
      <c r="B110" s="274" t="s">
        <v>135</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6"/>
    </row>
    <row r="111" spans="2:57" x14ac:dyDescent="0.25">
      <c r="B111" s="277"/>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8"/>
      <c r="AZ111" s="278"/>
      <c r="BA111" s="278"/>
      <c r="BB111" s="278"/>
      <c r="BC111" s="278"/>
      <c r="BD111" s="278"/>
      <c r="BE111" s="279"/>
    </row>
    <row r="112" spans="2:57" x14ac:dyDescent="0.25">
      <c r="B112" s="277" t="s">
        <v>136</v>
      </c>
      <c r="C112" s="278"/>
      <c r="D112" s="278"/>
      <c r="E112" s="278"/>
      <c r="F112" s="278"/>
      <c r="G112" s="278"/>
      <c r="H112" s="280">
        <f>IF(H$13&gt;'II. Inputs, Baseline Energy Mix'!$P$18,0,1)</f>
        <v>1</v>
      </c>
      <c r="I112" s="278">
        <f>IF(I$13&gt;'II. Inputs, Baseline Energy Mix'!$P$18,0,1)</f>
        <v>1</v>
      </c>
      <c r="J112" s="278">
        <f>IF(J$13&gt;'II. Inputs, Baseline Energy Mix'!$P$18,0,1)</f>
        <v>1</v>
      </c>
      <c r="K112" s="278">
        <f>IF(K$13&gt;'II. Inputs, Baseline Energy Mix'!$P$18,0,1)</f>
        <v>1</v>
      </c>
      <c r="L112" s="278">
        <f>IF(L$13&gt;'II. Inputs, Baseline Energy Mix'!$P$18,0,1)</f>
        <v>1</v>
      </c>
      <c r="M112" s="278">
        <f>IF(M$13&gt;'II. Inputs, Baseline Energy Mix'!$P$18,0,1)</f>
        <v>1</v>
      </c>
      <c r="N112" s="278">
        <f>IF(N$13&gt;'II. Inputs, Baseline Energy Mix'!$P$18,0,1)</f>
        <v>1</v>
      </c>
      <c r="O112" s="278">
        <f>IF(O$13&gt;'II. Inputs, Baseline Energy Mix'!$P$18,0,1)</f>
        <v>1</v>
      </c>
      <c r="P112" s="278">
        <f>IF(P$13&gt;'II. Inputs, Baseline Energy Mix'!$P$18,0,1)</f>
        <v>1</v>
      </c>
      <c r="Q112" s="278">
        <f>IF(Q$13&gt;'II. Inputs, Baseline Energy Mix'!$P$18,0,1)</f>
        <v>1</v>
      </c>
      <c r="R112" s="278">
        <f>IF(R$13&gt;'II. Inputs, Baseline Energy Mix'!$P$18,0,1)</f>
        <v>1</v>
      </c>
      <c r="S112" s="278">
        <f>IF(S$13&gt;'II. Inputs, Baseline Energy Mix'!$P$18,0,1)</f>
        <v>1</v>
      </c>
      <c r="T112" s="278">
        <f>IF(T$13&gt;'II. Inputs, Baseline Energy Mix'!$P$18,0,1)</f>
        <v>1</v>
      </c>
      <c r="U112" s="278">
        <f>IF(U$13&gt;'II. Inputs, Baseline Energy Mix'!$P$18,0,1)</f>
        <v>1</v>
      </c>
      <c r="V112" s="278">
        <f>IF(V$13&gt;'II. Inputs, Baseline Energy Mix'!$P$18,0,1)</f>
        <v>1</v>
      </c>
      <c r="W112" s="278">
        <f>IF(W$13&gt;'II. Inputs, Baseline Energy Mix'!$P$18,0,1)</f>
        <v>1</v>
      </c>
      <c r="X112" s="278">
        <f>IF(X$13&gt;'II. Inputs, Baseline Energy Mix'!$P$18,0,1)</f>
        <v>1</v>
      </c>
      <c r="Y112" s="278">
        <f>IF(Y$13&gt;'II. Inputs, Baseline Energy Mix'!$P$18,0,1)</f>
        <v>1</v>
      </c>
      <c r="Z112" s="278">
        <f>IF(Z$13&gt;'II. Inputs, Baseline Energy Mix'!$P$18,0,1)</f>
        <v>1</v>
      </c>
      <c r="AA112" s="278">
        <f>IF(AA$13&gt;'II. Inputs, Baseline Energy Mix'!$P$18,0,1)</f>
        <v>1</v>
      </c>
      <c r="AB112" s="278">
        <f>IF(AB$13&gt;'II. Inputs, Baseline Energy Mix'!$P$18,0,1)</f>
        <v>1</v>
      </c>
      <c r="AC112" s="278">
        <f>IF(AC$13&gt;'II. Inputs, Baseline Energy Mix'!$P$18,0,1)</f>
        <v>1</v>
      </c>
      <c r="AD112" s="278">
        <f>IF(AD$13&gt;'II. Inputs, Baseline Energy Mix'!$P$18,0,1)</f>
        <v>1</v>
      </c>
      <c r="AE112" s="278">
        <f>IF(AE$13&gt;'II. Inputs, Baseline Energy Mix'!$P$18,0,1)</f>
        <v>1</v>
      </c>
      <c r="AF112" s="278">
        <f>IF(AF$13&gt;'II. Inputs, Baseline Energy Mix'!$P$18,0,1)</f>
        <v>1</v>
      </c>
      <c r="AG112" s="278">
        <f>IF(AG$13&gt;'II. Inputs, Baseline Energy Mix'!$P$18,0,1)</f>
        <v>1</v>
      </c>
      <c r="AH112" s="278">
        <f>IF(AH$13&gt;'II. Inputs, Baseline Energy Mix'!$P$18,0,1)</f>
        <v>1</v>
      </c>
      <c r="AI112" s="278">
        <f>IF(AI$13&gt;'II. Inputs, Baseline Energy Mix'!$P$18,0,1)</f>
        <v>1</v>
      </c>
      <c r="AJ112" s="278">
        <f>IF(AJ$13&gt;'II. Inputs, Baseline Energy Mix'!$P$18,0,1)</f>
        <v>1</v>
      </c>
      <c r="AK112" s="278">
        <f>IF(AK$13&gt;'II. Inputs, Baseline Energy Mix'!$P$18,0,1)</f>
        <v>1</v>
      </c>
      <c r="AL112" s="278">
        <f>IF(AL$13&gt;'II. Inputs, Baseline Energy Mix'!$P$18,0,1)</f>
        <v>1</v>
      </c>
      <c r="AM112" s="278">
        <f>IF(AM$13&gt;'II. Inputs, Baseline Energy Mix'!$P$18,0,1)</f>
        <v>1</v>
      </c>
      <c r="AN112" s="278">
        <f>IF(AN$13&gt;'II. Inputs, Baseline Energy Mix'!$P$18,0,1)</f>
        <v>1</v>
      </c>
      <c r="AO112" s="278">
        <f>IF(AO$13&gt;'II. Inputs, Baseline Energy Mix'!$P$18,0,1)</f>
        <v>1</v>
      </c>
      <c r="AP112" s="278">
        <f>IF(AP$13&gt;'II. Inputs, Baseline Energy Mix'!$P$18,0,1)</f>
        <v>1</v>
      </c>
      <c r="AQ112" s="278">
        <f>IF(AQ$13&gt;'II. Inputs, Baseline Energy Mix'!$P$18,0,1)</f>
        <v>1</v>
      </c>
      <c r="AR112" s="278">
        <f>IF(AR$13&gt;'II. Inputs, Baseline Energy Mix'!$P$18,0,1)</f>
        <v>1</v>
      </c>
      <c r="AS112" s="278">
        <f>IF(AS$13&gt;'II. Inputs, Baseline Energy Mix'!$P$18,0,1)</f>
        <v>1</v>
      </c>
      <c r="AT112" s="278">
        <f>IF(AT$13&gt;'II. Inputs, Baseline Energy Mix'!$P$18,0,1)</f>
        <v>1</v>
      </c>
      <c r="AU112" s="278">
        <f>IF(AU$13&gt;'II. Inputs, Baseline Energy Mix'!$P$18,0,1)</f>
        <v>1</v>
      </c>
      <c r="AV112" s="278">
        <f>IF(AV$13&gt;'II. Inputs, Baseline Energy Mix'!$P$18,0,1)</f>
        <v>1</v>
      </c>
      <c r="AW112" s="278">
        <f>IF(AW$13&gt;'II. Inputs, Baseline Energy Mix'!$P$18,0,1)</f>
        <v>1</v>
      </c>
      <c r="AX112" s="278">
        <f>IF(AX$13&gt;'II. Inputs, Baseline Energy Mix'!$P$18,0,1)</f>
        <v>1</v>
      </c>
      <c r="AY112" s="278">
        <f>IF(AY$13&gt;'II. Inputs, Baseline Energy Mix'!$P$18,0,1)</f>
        <v>1</v>
      </c>
      <c r="AZ112" s="278">
        <f>IF(AZ$13&gt;'II. Inputs, Baseline Energy Mix'!$P$18,0,1)</f>
        <v>1</v>
      </c>
      <c r="BA112" s="278">
        <f>IF(BA$13&gt;'II. Inputs, Baseline Energy Mix'!$P$18,0,1)</f>
        <v>1</v>
      </c>
      <c r="BB112" s="278">
        <f>IF(BB$13&gt;'II. Inputs, Baseline Energy Mix'!$P$18,0,1)</f>
        <v>1</v>
      </c>
      <c r="BC112" s="278">
        <f>IF(BC$13&gt;'II. Inputs, Baseline Energy Mix'!$P$18,0,1)</f>
        <v>1</v>
      </c>
      <c r="BD112" s="278">
        <f>IF(BD$13&gt;'II. Inputs, Baseline Energy Mix'!$P$18,0,1)</f>
        <v>1</v>
      </c>
      <c r="BE112" s="279">
        <f>IF(BE$13&gt;'II. Inputs, Baseline Energy Mix'!$P$18,0,1)</f>
        <v>1</v>
      </c>
    </row>
    <row r="113" spans="2:57" x14ac:dyDescent="0.25">
      <c r="B113" s="277"/>
      <c r="C113" s="278"/>
      <c r="D113" s="278"/>
      <c r="E113" s="278"/>
      <c r="F113" s="278"/>
      <c r="G113" s="278"/>
      <c r="H113" s="280"/>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278"/>
      <c r="BD113" s="278"/>
      <c r="BE113" s="279"/>
    </row>
    <row r="114" spans="2:57" x14ac:dyDescent="0.25">
      <c r="B114" s="277" t="s">
        <v>97</v>
      </c>
      <c r="C114" s="278"/>
      <c r="D114" s="278"/>
      <c r="E114" s="278"/>
      <c r="F114" s="281" t="s">
        <v>98</v>
      </c>
      <c r="G114" s="278"/>
      <c r="H114" s="282">
        <f>IF('II. Inputs, Baseline Energy Mix'!$P$15=0,0,'II. Inputs, Baseline Energy Mix'!$P$92*'II. Inputs, Baseline Energy Mix'!$P$16*H112)</f>
        <v>0</v>
      </c>
      <c r="I114" s="282">
        <f>IF('II. Inputs, Baseline Energy Mix'!$P$15=0,0,'II. Inputs, Baseline Energy Mix'!$P$92*'II. Inputs, Baseline Energy Mix'!$P$16*I112)</f>
        <v>0</v>
      </c>
      <c r="J114" s="282">
        <f>IF('II. Inputs, Baseline Energy Mix'!$P$15=0,0,'II. Inputs, Baseline Energy Mix'!$P$92*'II. Inputs, Baseline Energy Mix'!$P$16*J112)</f>
        <v>0</v>
      </c>
      <c r="K114" s="282">
        <f>IF('II. Inputs, Baseline Energy Mix'!$P$15=0,0,'II. Inputs, Baseline Energy Mix'!$P$92*'II. Inputs, Baseline Energy Mix'!$P$16*K112)</f>
        <v>0</v>
      </c>
      <c r="L114" s="282">
        <f>IF('II. Inputs, Baseline Energy Mix'!$P$15=0,0,'II. Inputs, Baseline Energy Mix'!$P$92*'II. Inputs, Baseline Energy Mix'!$P$16*L112)</f>
        <v>0</v>
      </c>
      <c r="M114" s="282">
        <f>IF('II. Inputs, Baseline Energy Mix'!$P$15=0,0,'II. Inputs, Baseline Energy Mix'!$P$92*'II. Inputs, Baseline Energy Mix'!$P$16*M112)</f>
        <v>0</v>
      </c>
      <c r="N114" s="282">
        <f>IF('II. Inputs, Baseline Energy Mix'!$P$15=0,0,'II. Inputs, Baseline Energy Mix'!$P$92*'II. Inputs, Baseline Energy Mix'!$P$16*N112)</f>
        <v>0</v>
      </c>
      <c r="O114" s="282">
        <f>IF('II. Inputs, Baseline Energy Mix'!$P$15=0,0,'II. Inputs, Baseline Energy Mix'!$P$92*'II. Inputs, Baseline Energy Mix'!$P$16*O112)</f>
        <v>0</v>
      </c>
      <c r="P114" s="282">
        <f>IF('II. Inputs, Baseline Energy Mix'!$P$15=0,0,'II. Inputs, Baseline Energy Mix'!$P$92*'II. Inputs, Baseline Energy Mix'!$P$16*P112)</f>
        <v>0</v>
      </c>
      <c r="Q114" s="282">
        <f>IF('II. Inputs, Baseline Energy Mix'!$P$15=0,0,'II. Inputs, Baseline Energy Mix'!$P$92*'II. Inputs, Baseline Energy Mix'!$P$16*Q112)</f>
        <v>0</v>
      </c>
      <c r="R114" s="282">
        <f>IF('II. Inputs, Baseline Energy Mix'!$P$15=0,0,'II. Inputs, Baseline Energy Mix'!$P$92*'II. Inputs, Baseline Energy Mix'!$P$16*R112)</f>
        <v>0</v>
      </c>
      <c r="S114" s="282">
        <f>IF('II. Inputs, Baseline Energy Mix'!$P$15=0,0,'II. Inputs, Baseline Energy Mix'!$P$92*'II. Inputs, Baseline Energy Mix'!$P$16*S112)</f>
        <v>0</v>
      </c>
      <c r="T114" s="282">
        <f>IF('II. Inputs, Baseline Energy Mix'!$P$15=0,0,'II. Inputs, Baseline Energy Mix'!$P$92*'II. Inputs, Baseline Energy Mix'!$P$16*T112)</f>
        <v>0</v>
      </c>
      <c r="U114" s="282">
        <f>IF('II. Inputs, Baseline Energy Mix'!$P$15=0,0,'II. Inputs, Baseline Energy Mix'!$P$92*'II. Inputs, Baseline Energy Mix'!$P$16*U112)</f>
        <v>0</v>
      </c>
      <c r="V114" s="282">
        <f>IF('II. Inputs, Baseline Energy Mix'!$P$15=0,0,'II. Inputs, Baseline Energy Mix'!$P$92*'II. Inputs, Baseline Energy Mix'!$P$16*V112)</f>
        <v>0</v>
      </c>
      <c r="W114" s="282">
        <f>IF('II. Inputs, Baseline Energy Mix'!$P$15=0,0,'II. Inputs, Baseline Energy Mix'!$P$92*'II. Inputs, Baseline Energy Mix'!$P$16*W112)</f>
        <v>0</v>
      </c>
      <c r="X114" s="282">
        <f>IF('II. Inputs, Baseline Energy Mix'!$P$15=0,0,'II. Inputs, Baseline Energy Mix'!$P$92*'II. Inputs, Baseline Energy Mix'!$P$16*X112)</f>
        <v>0</v>
      </c>
      <c r="Y114" s="282">
        <f>IF('II. Inputs, Baseline Energy Mix'!$P$15=0,0,'II. Inputs, Baseline Energy Mix'!$P$92*'II. Inputs, Baseline Energy Mix'!$P$16*Y112)</f>
        <v>0</v>
      </c>
      <c r="Z114" s="282">
        <f>IF('II. Inputs, Baseline Energy Mix'!$P$15=0,0,'II. Inputs, Baseline Energy Mix'!$P$92*'II. Inputs, Baseline Energy Mix'!$P$16*Z112)</f>
        <v>0</v>
      </c>
      <c r="AA114" s="282">
        <f>IF('II. Inputs, Baseline Energy Mix'!$P$15=0,0,'II. Inputs, Baseline Energy Mix'!$P$92*'II. Inputs, Baseline Energy Mix'!$P$16*AA112)</f>
        <v>0</v>
      </c>
      <c r="AB114" s="282">
        <f>IF('II. Inputs, Baseline Energy Mix'!$P$15=0,0,'II. Inputs, Baseline Energy Mix'!$P$92*'II. Inputs, Baseline Energy Mix'!$P$16*AB112)</f>
        <v>0</v>
      </c>
      <c r="AC114" s="282">
        <f>IF('II. Inputs, Baseline Energy Mix'!$P$15=0,0,'II. Inputs, Baseline Energy Mix'!$P$92*'II. Inputs, Baseline Energy Mix'!$P$16*AC112)</f>
        <v>0</v>
      </c>
      <c r="AD114" s="282">
        <f>IF('II. Inputs, Baseline Energy Mix'!$P$15=0,0,'II. Inputs, Baseline Energy Mix'!$P$92*'II. Inputs, Baseline Energy Mix'!$P$16*AD112)</f>
        <v>0</v>
      </c>
      <c r="AE114" s="282">
        <f>IF('II. Inputs, Baseline Energy Mix'!$P$15=0,0,'II. Inputs, Baseline Energy Mix'!$P$92*'II. Inputs, Baseline Energy Mix'!$P$16*AE112)</f>
        <v>0</v>
      </c>
      <c r="AF114" s="282">
        <f>IF('II. Inputs, Baseline Energy Mix'!$P$15=0,0,'II. Inputs, Baseline Energy Mix'!$P$92*'II. Inputs, Baseline Energy Mix'!$P$16*AF112)</f>
        <v>0</v>
      </c>
      <c r="AG114" s="282">
        <f>IF('II. Inputs, Baseline Energy Mix'!$P$15=0,0,'II. Inputs, Baseline Energy Mix'!$P$92*'II. Inputs, Baseline Energy Mix'!$P$16*AG112)</f>
        <v>0</v>
      </c>
      <c r="AH114" s="282">
        <f>IF('II. Inputs, Baseline Energy Mix'!$P$15=0,0,'II. Inputs, Baseline Energy Mix'!$P$92*'II. Inputs, Baseline Energy Mix'!$P$16*AH112)</f>
        <v>0</v>
      </c>
      <c r="AI114" s="282">
        <f>IF('II. Inputs, Baseline Energy Mix'!$P$15=0,0,'II. Inputs, Baseline Energy Mix'!$P$92*'II. Inputs, Baseline Energy Mix'!$P$16*AI112)</f>
        <v>0</v>
      </c>
      <c r="AJ114" s="282">
        <f>IF('II. Inputs, Baseline Energy Mix'!$P$15=0,0,'II. Inputs, Baseline Energy Mix'!$P$92*'II. Inputs, Baseline Energy Mix'!$P$16*AJ112)</f>
        <v>0</v>
      </c>
      <c r="AK114" s="282">
        <f>IF('II. Inputs, Baseline Energy Mix'!$P$15=0,0,'II. Inputs, Baseline Energy Mix'!$P$92*'II. Inputs, Baseline Energy Mix'!$P$16*AK112)</f>
        <v>0</v>
      </c>
      <c r="AL114" s="282">
        <f>IF('II. Inputs, Baseline Energy Mix'!$P$15=0,0,'II. Inputs, Baseline Energy Mix'!$P$92*'II. Inputs, Baseline Energy Mix'!$P$16*AL112)</f>
        <v>0</v>
      </c>
      <c r="AM114" s="282">
        <f>IF('II. Inputs, Baseline Energy Mix'!$P$15=0,0,'II. Inputs, Baseline Energy Mix'!$P$92*'II. Inputs, Baseline Energy Mix'!$P$16*AM112)</f>
        <v>0</v>
      </c>
      <c r="AN114" s="282">
        <f>IF('II. Inputs, Baseline Energy Mix'!$P$15=0,0,'II. Inputs, Baseline Energy Mix'!$P$92*'II. Inputs, Baseline Energy Mix'!$P$16*AN112)</f>
        <v>0</v>
      </c>
      <c r="AO114" s="282">
        <f>IF('II. Inputs, Baseline Energy Mix'!$P$15=0,0,'II. Inputs, Baseline Energy Mix'!$P$92*'II. Inputs, Baseline Energy Mix'!$P$16*AO112)</f>
        <v>0</v>
      </c>
      <c r="AP114" s="282">
        <f>IF('II. Inputs, Baseline Energy Mix'!$P$15=0,0,'II. Inputs, Baseline Energy Mix'!$P$92*'II. Inputs, Baseline Energy Mix'!$P$16*AP112)</f>
        <v>0</v>
      </c>
      <c r="AQ114" s="282">
        <f>IF('II. Inputs, Baseline Energy Mix'!$P$15=0,0,'II. Inputs, Baseline Energy Mix'!$P$92*'II. Inputs, Baseline Energy Mix'!$P$16*AQ112)</f>
        <v>0</v>
      </c>
      <c r="AR114" s="282">
        <f>IF('II. Inputs, Baseline Energy Mix'!$P$15=0,0,'II. Inputs, Baseline Energy Mix'!$P$92*'II. Inputs, Baseline Energy Mix'!$P$16*AR112)</f>
        <v>0</v>
      </c>
      <c r="AS114" s="282">
        <f>IF('II. Inputs, Baseline Energy Mix'!$P$15=0,0,'II. Inputs, Baseline Energy Mix'!$P$92*'II. Inputs, Baseline Energy Mix'!$P$16*AS112)</f>
        <v>0</v>
      </c>
      <c r="AT114" s="282">
        <f>IF('II. Inputs, Baseline Energy Mix'!$P$15=0,0,'II. Inputs, Baseline Energy Mix'!$P$92*'II. Inputs, Baseline Energy Mix'!$P$16*AT112)</f>
        <v>0</v>
      </c>
      <c r="AU114" s="282">
        <f>IF('II. Inputs, Baseline Energy Mix'!$P$15=0,0,'II. Inputs, Baseline Energy Mix'!$P$92*'II. Inputs, Baseline Energy Mix'!$P$16*AU112)</f>
        <v>0</v>
      </c>
      <c r="AV114" s="282">
        <f>IF('II. Inputs, Baseline Energy Mix'!$P$15=0,0,'II. Inputs, Baseline Energy Mix'!$P$92*'II. Inputs, Baseline Energy Mix'!$P$16*AV112)</f>
        <v>0</v>
      </c>
      <c r="AW114" s="282">
        <f>IF('II. Inputs, Baseline Energy Mix'!$P$15=0,0,'II. Inputs, Baseline Energy Mix'!$P$92*'II. Inputs, Baseline Energy Mix'!$P$16*AW112)</f>
        <v>0</v>
      </c>
      <c r="AX114" s="282">
        <f>IF('II. Inputs, Baseline Energy Mix'!$P$15=0,0,'II. Inputs, Baseline Energy Mix'!$P$92*'II. Inputs, Baseline Energy Mix'!$P$16*AX112)</f>
        <v>0</v>
      </c>
      <c r="AY114" s="282">
        <f>IF('II. Inputs, Baseline Energy Mix'!$P$15=0,0,'II. Inputs, Baseline Energy Mix'!$P$92*'II. Inputs, Baseline Energy Mix'!$P$16*AY112)</f>
        <v>0</v>
      </c>
      <c r="AZ114" s="282">
        <f>IF('II. Inputs, Baseline Energy Mix'!$P$15=0,0,'II. Inputs, Baseline Energy Mix'!$P$92*'II. Inputs, Baseline Energy Mix'!$P$16*AZ112)</f>
        <v>0</v>
      </c>
      <c r="BA114" s="282">
        <f>IF('II. Inputs, Baseline Energy Mix'!$P$15=0,0,'II. Inputs, Baseline Energy Mix'!$P$92*'II. Inputs, Baseline Energy Mix'!$P$16*BA112)</f>
        <v>0</v>
      </c>
      <c r="BB114" s="282">
        <f>IF('II. Inputs, Baseline Energy Mix'!$P$15=0,0,'II. Inputs, Baseline Energy Mix'!$P$92*'II. Inputs, Baseline Energy Mix'!$P$16*BB112)</f>
        <v>0</v>
      </c>
      <c r="BC114" s="282">
        <f>IF('II. Inputs, Baseline Energy Mix'!$P$15=0,0,'II. Inputs, Baseline Energy Mix'!$P$92*'II. Inputs, Baseline Energy Mix'!$P$16*BC112)</f>
        <v>0</v>
      </c>
      <c r="BD114" s="282">
        <f>IF('II. Inputs, Baseline Energy Mix'!$P$15=0,0,'II. Inputs, Baseline Energy Mix'!$P$92*'II. Inputs, Baseline Energy Mix'!$P$16*BD112)</f>
        <v>0</v>
      </c>
      <c r="BE114" s="283">
        <f>IF('II. Inputs, Baseline Energy Mix'!$P$15=0,0,'II. Inputs, Baseline Energy Mix'!$P$92*'II. Inputs, Baseline Energy Mix'!$P$16*BE112)</f>
        <v>0</v>
      </c>
    </row>
    <row r="115" spans="2:57" x14ac:dyDescent="0.25">
      <c r="B115" s="277"/>
      <c r="C115" s="278"/>
      <c r="D115" s="278"/>
      <c r="E115" s="281"/>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c r="AQ115" s="278"/>
      <c r="AR115" s="278"/>
      <c r="AS115" s="278"/>
      <c r="AT115" s="278"/>
      <c r="AU115" s="278"/>
      <c r="AV115" s="278"/>
      <c r="AW115" s="278"/>
      <c r="AX115" s="278"/>
      <c r="AY115" s="278"/>
      <c r="AZ115" s="278"/>
      <c r="BA115" s="278"/>
      <c r="BB115" s="278"/>
      <c r="BC115" s="278"/>
      <c r="BD115" s="278"/>
      <c r="BE115" s="279"/>
    </row>
    <row r="116" spans="2:57" x14ac:dyDescent="0.25">
      <c r="B116" s="284" t="s">
        <v>99</v>
      </c>
      <c r="C116" s="285"/>
      <c r="D116" s="285"/>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6"/>
      <c r="BA116" s="286"/>
      <c r="BB116" s="286"/>
      <c r="BC116" s="286"/>
      <c r="BD116" s="286"/>
      <c r="BE116" s="287"/>
    </row>
    <row r="117" spans="2:57" x14ac:dyDescent="0.25">
      <c r="B117" s="277"/>
      <c r="C117" s="278"/>
      <c r="D117" s="278"/>
      <c r="E117" s="281"/>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9"/>
    </row>
    <row r="118" spans="2:57" x14ac:dyDescent="0.25">
      <c r="B118" s="277" t="s">
        <v>137</v>
      </c>
      <c r="C118" s="278"/>
      <c r="D118" s="278"/>
      <c r="E118" s="281"/>
      <c r="F118" s="281" t="s">
        <v>22</v>
      </c>
      <c r="G118" s="278"/>
      <c r="H118" s="1303">
        <f>IF('II. Inputs, Baseline Energy Mix'!$P$15=0,0,H112*'II. Inputs, Baseline Energy Mix'!$P$105*(1+'II. Inputs, Baseline Energy Mix'!$P$106)^('IV. LCOE, Baseline Energy Mix'!H$13-1))</f>
        <v>0</v>
      </c>
      <c r="I118" s="1303">
        <f>IF('II. Inputs, Baseline Energy Mix'!$P$15=0,0,I112*'II. Inputs, Baseline Energy Mix'!$P$105*(1+'II. Inputs, Baseline Energy Mix'!$P$106)^('IV. LCOE, Baseline Energy Mix'!I$13-1))</f>
        <v>0</v>
      </c>
      <c r="J118" s="1303">
        <f>IF('II. Inputs, Baseline Energy Mix'!$P$15=0,0,J112*'II. Inputs, Baseline Energy Mix'!$P$105*(1+'II. Inputs, Baseline Energy Mix'!$P$106)^('IV. LCOE, Baseline Energy Mix'!J$13-1))</f>
        <v>0</v>
      </c>
      <c r="K118" s="1303">
        <f>IF('II. Inputs, Baseline Energy Mix'!$P$15=0,0,K112*'II. Inputs, Baseline Energy Mix'!$P$105*(1+'II. Inputs, Baseline Energy Mix'!$P$106)^('IV. LCOE, Baseline Energy Mix'!K$13-1))</f>
        <v>0</v>
      </c>
      <c r="L118" s="1303">
        <f>IF('II. Inputs, Baseline Energy Mix'!$P$15=0,0,L112*'II. Inputs, Baseline Energy Mix'!$P$105*(1+'II. Inputs, Baseline Energy Mix'!$P$106)^('IV. LCOE, Baseline Energy Mix'!L$13-1))</f>
        <v>0</v>
      </c>
      <c r="M118" s="1303">
        <f>IF('II. Inputs, Baseline Energy Mix'!$P$15=0,0,M112*'II. Inputs, Baseline Energy Mix'!$P$105*(1+'II. Inputs, Baseline Energy Mix'!$P$106)^('IV. LCOE, Baseline Energy Mix'!M$13-1))</f>
        <v>0</v>
      </c>
      <c r="N118" s="1303">
        <f>IF('II. Inputs, Baseline Energy Mix'!$P$15=0,0,N112*'II. Inputs, Baseline Energy Mix'!$P$105*(1+'II. Inputs, Baseline Energy Mix'!$P$106)^('IV. LCOE, Baseline Energy Mix'!N$13-1))</f>
        <v>0</v>
      </c>
      <c r="O118" s="1303">
        <f>IF('II. Inputs, Baseline Energy Mix'!$P$15=0,0,O112*'II. Inputs, Baseline Energy Mix'!$P$105*(1+'II. Inputs, Baseline Energy Mix'!$P$106)^('IV. LCOE, Baseline Energy Mix'!O$13-1))</f>
        <v>0</v>
      </c>
      <c r="P118" s="1303">
        <f>IF('II. Inputs, Baseline Energy Mix'!$P$15=0,0,P112*'II. Inputs, Baseline Energy Mix'!$P$105*(1+'II. Inputs, Baseline Energy Mix'!$P$106)^('IV. LCOE, Baseline Energy Mix'!P$13-1))</f>
        <v>0</v>
      </c>
      <c r="Q118" s="1303">
        <f>IF('II. Inputs, Baseline Energy Mix'!$P$15=0,0,Q112*'II. Inputs, Baseline Energy Mix'!$P$105*(1+'II. Inputs, Baseline Energy Mix'!$P$106)^('IV. LCOE, Baseline Energy Mix'!Q$13-1))</f>
        <v>0</v>
      </c>
      <c r="R118" s="1303">
        <f>IF('II. Inputs, Baseline Energy Mix'!$P$15=0,0,R112*'II. Inputs, Baseline Energy Mix'!$P$105*(1+'II. Inputs, Baseline Energy Mix'!$P$106)^('IV. LCOE, Baseline Energy Mix'!R$13-1))</f>
        <v>0</v>
      </c>
      <c r="S118" s="1303">
        <f>IF('II. Inputs, Baseline Energy Mix'!$P$15=0,0,S112*'II. Inputs, Baseline Energy Mix'!$P$105*(1+'II. Inputs, Baseline Energy Mix'!$P$106)^('IV. LCOE, Baseline Energy Mix'!S$13-1))</f>
        <v>0</v>
      </c>
      <c r="T118" s="1303">
        <f>IF('II. Inputs, Baseline Energy Mix'!$P$15=0,0,T112*'II. Inputs, Baseline Energy Mix'!$P$105*(1+'II. Inputs, Baseline Energy Mix'!$P$106)^('IV. LCOE, Baseline Energy Mix'!T$13-1))</f>
        <v>0</v>
      </c>
      <c r="U118" s="1303">
        <f>IF('II. Inputs, Baseline Energy Mix'!$P$15=0,0,U112*'II. Inputs, Baseline Energy Mix'!$P$105*(1+'II. Inputs, Baseline Energy Mix'!$P$106)^('IV. LCOE, Baseline Energy Mix'!U$13-1))</f>
        <v>0</v>
      </c>
      <c r="V118" s="1303">
        <f>IF('II. Inputs, Baseline Energy Mix'!$P$15=0,0,V112*'II. Inputs, Baseline Energy Mix'!$P$105*(1+'II. Inputs, Baseline Energy Mix'!$P$106)^('IV. LCOE, Baseline Energy Mix'!V$13-1))</f>
        <v>0</v>
      </c>
      <c r="W118" s="1303">
        <f>IF('II. Inputs, Baseline Energy Mix'!$P$15=0,0,W112*'II. Inputs, Baseline Energy Mix'!$P$105*(1+'II. Inputs, Baseline Energy Mix'!$P$106)^('IV. LCOE, Baseline Energy Mix'!W$13-1))</f>
        <v>0</v>
      </c>
      <c r="X118" s="1303">
        <f>IF('II. Inputs, Baseline Energy Mix'!$P$15=0,0,X112*'II. Inputs, Baseline Energy Mix'!$P$105*(1+'II. Inputs, Baseline Energy Mix'!$P$106)^('IV. LCOE, Baseline Energy Mix'!X$13-1))</f>
        <v>0</v>
      </c>
      <c r="Y118" s="1303">
        <f>IF('II. Inputs, Baseline Energy Mix'!$P$15=0,0,Y112*'II. Inputs, Baseline Energy Mix'!$P$105*(1+'II. Inputs, Baseline Energy Mix'!$P$106)^('IV. LCOE, Baseline Energy Mix'!Y$13-1))</f>
        <v>0</v>
      </c>
      <c r="Z118" s="1303">
        <f>IF('II. Inputs, Baseline Energy Mix'!$P$15=0,0,Z112*'II. Inputs, Baseline Energy Mix'!$P$105*(1+'II. Inputs, Baseline Energy Mix'!$P$106)^('IV. LCOE, Baseline Energy Mix'!Z$13-1))</f>
        <v>0</v>
      </c>
      <c r="AA118" s="1303">
        <f>IF('II. Inputs, Baseline Energy Mix'!$P$15=0,0,AA112*'II. Inputs, Baseline Energy Mix'!$P$105*(1+'II. Inputs, Baseline Energy Mix'!$P$106)^('IV. LCOE, Baseline Energy Mix'!AA$13-1))</f>
        <v>0</v>
      </c>
      <c r="AB118" s="1303">
        <f>IF('II. Inputs, Baseline Energy Mix'!$P$15=0,0,AB112*'II. Inputs, Baseline Energy Mix'!$P$105*(1+'II. Inputs, Baseline Energy Mix'!$P$106)^('IV. LCOE, Baseline Energy Mix'!AB$13-1))</f>
        <v>0</v>
      </c>
      <c r="AC118" s="1303">
        <f>IF('II. Inputs, Baseline Energy Mix'!$P$15=0,0,AC112*'II. Inputs, Baseline Energy Mix'!$P$105*(1+'II. Inputs, Baseline Energy Mix'!$P$106)^('IV. LCOE, Baseline Energy Mix'!AC$13-1))</f>
        <v>0</v>
      </c>
      <c r="AD118" s="1303">
        <f>IF('II. Inputs, Baseline Energy Mix'!$P$15=0,0,AD112*'II. Inputs, Baseline Energy Mix'!$P$105*(1+'II. Inputs, Baseline Energy Mix'!$P$106)^('IV. LCOE, Baseline Energy Mix'!AD$13-1))</f>
        <v>0</v>
      </c>
      <c r="AE118" s="1303">
        <f>IF('II. Inputs, Baseline Energy Mix'!$P$15=0,0,AE112*'II. Inputs, Baseline Energy Mix'!$P$105*(1+'II. Inputs, Baseline Energy Mix'!$P$106)^('IV. LCOE, Baseline Energy Mix'!AE$13-1))</f>
        <v>0</v>
      </c>
      <c r="AF118" s="1303">
        <f>IF('II. Inputs, Baseline Energy Mix'!$P$15=0,0,AF112*'II. Inputs, Baseline Energy Mix'!$P$105*(1+'II. Inputs, Baseline Energy Mix'!$P$106)^('IV. LCOE, Baseline Energy Mix'!AF$13-1))</f>
        <v>0</v>
      </c>
      <c r="AG118" s="1303">
        <f>IF('II. Inputs, Baseline Energy Mix'!$P$15=0,0,AG112*'II. Inputs, Baseline Energy Mix'!$P$105*(1+'II. Inputs, Baseline Energy Mix'!$P$106)^('IV. LCOE, Baseline Energy Mix'!AG$13-1))</f>
        <v>0</v>
      </c>
      <c r="AH118" s="1303">
        <f>IF('II. Inputs, Baseline Energy Mix'!$P$15=0,0,AH112*'II. Inputs, Baseline Energy Mix'!$P$105*(1+'II. Inputs, Baseline Energy Mix'!$P$106)^('IV. LCOE, Baseline Energy Mix'!AH$13-1))</f>
        <v>0</v>
      </c>
      <c r="AI118" s="1303">
        <f>IF('II. Inputs, Baseline Energy Mix'!$P$15=0,0,AI112*'II. Inputs, Baseline Energy Mix'!$P$105*(1+'II. Inputs, Baseline Energy Mix'!$P$106)^('IV. LCOE, Baseline Energy Mix'!AI$13-1))</f>
        <v>0</v>
      </c>
      <c r="AJ118" s="1303">
        <f>IF('II. Inputs, Baseline Energy Mix'!$P$15=0,0,AJ112*'II. Inputs, Baseline Energy Mix'!$P$105*(1+'II. Inputs, Baseline Energy Mix'!$P$106)^('IV. LCOE, Baseline Energy Mix'!AJ$13-1))</f>
        <v>0</v>
      </c>
      <c r="AK118" s="1303">
        <f>IF('II. Inputs, Baseline Energy Mix'!$P$15=0,0,AK112*'II. Inputs, Baseline Energy Mix'!$P$105*(1+'II. Inputs, Baseline Energy Mix'!$P$106)^('IV. LCOE, Baseline Energy Mix'!AK$13-1))</f>
        <v>0</v>
      </c>
      <c r="AL118" s="1303">
        <f>IF('II. Inputs, Baseline Energy Mix'!$P$15=0,0,AL112*'II. Inputs, Baseline Energy Mix'!$P$105*(1+'II. Inputs, Baseline Energy Mix'!$P$106)^('IV. LCOE, Baseline Energy Mix'!AL$13-1))</f>
        <v>0</v>
      </c>
      <c r="AM118" s="1303">
        <f>IF('II. Inputs, Baseline Energy Mix'!$P$15=0,0,AM112*'II. Inputs, Baseline Energy Mix'!$P$105*(1+'II. Inputs, Baseline Energy Mix'!$P$106)^('IV. LCOE, Baseline Energy Mix'!AM$13-1))</f>
        <v>0</v>
      </c>
      <c r="AN118" s="1303">
        <f>IF('II. Inputs, Baseline Energy Mix'!$P$15=0,0,AN112*'II. Inputs, Baseline Energy Mix'!$P$105*(1+'II. Inputs, Baseline Energy Mix'!$P$106)^('IV. LCOE, Baseline Energy Mix'!AN$13-1))</f>
        <v>0</v>
      </c>
      <c r="AO118" s="1303">
        <f>IF('II. Inputs, Baseline Energy Mix'!$P$15=0,0,AO112*'II. Inputs, Baseline Energy Mix'!$P$105*(1+'II. Inputs, Baseline Energy Mix'!$P$106)^('IV. LCOE, Baseline Energy Mix'!AO$13-1))</f>
        <v>0</v>
      </c>
      <c r="AP118" s="1303">
        <f>IF('II. Inputs, Baseline Energy Mix'!$P$15=0,0,AP112*'II. Inputs, Baseline Energy Mix'!$P$105*(1+'II. Inputs, Baseline Energy Mix'!$P$106)^('IV. LCOE, Baseline Energy Mix'!AP$13-1))</f>
        <v>0</v>
      </c>
      <c r="AQ118" s="1303">
        <f>IF('II. Inputs, Baseline Energy Mix'!$P$15=0,0,AQ112*'II. Inputs, Baseline Energy Mix'!$P$105*(1+'II. Inputs, Baseline Energy Mix'!$P$106)^('IV. LCOE, Baseline Energy Mix'!AQ$13-1))</f>
        <v>0</v>
      </c>
      <c r="AR118" s="1303">
        <f>IF('II. Inputs, Baseline Energy Mix'!$P$15=0,0,AR112*'II. Inputs, Baseline Energy Mix'!$P$105*(1+'II. Inputs, Baseline Energy Mix'!$P$106)^('IV. LCOE, Baseline Energy Mix'!AR$13-1))</f>
        <v>0</v>
      </c>
      <c r="AS118" s="1303">
        <f>IF('II. Inputs, Baseline Energy Mix'!$P$15=0,0,AS112*'II. Inputs, Baseline Energy Mix'!$P$105*(1+'II. Inputs, Baseline Energy Mix'!$P$106)^('IV. LCOE, Baseline Energy Mix'!AS$13-1))</f>
        <v>0</v>
      </c>
      <c r="AT118" s="1303">
        <f>IF('II. Inputs, Baseline Energy Mix'!$P$15=0,0,AT112*'II. Inputs, Baseline Energy Mix'!$P$105*(1+'II. Inputs, Baseline Energy Mix'!$P$106)^('IV. LCOE, Baseline Energy Mix'!AT$13-1))</f>
        <v>0</v>
      </c>
      <c r="AU118" s="1303">
        <f>IF('II. Inputs, Baseline Energy Mix'!$P$15=0,0,AU112*'II. Inputs, Baseline Energy Mix'!$P$105*(1+'II. Inputs, Baseline Energy Mix'!$P$106)^('IV. LCOE, Baseline Energy Mix'!AU$13-1))</f>
        <v>0</v>
      </c>
      <c r="AV118" s="1303">
        <f>IF('II. Inputs, Baseline Energy Mix'!$P$15=0,0,AV112*'II. Inputs, Baseline Energy Mix'!$P$105*(1+'II. Inputs, Baseline Energy Mix'!$P$106)^('IV. LCOE, Baseline Energy Mix'!AV$13-1))</f>
        <v>0</v>
      </c>
      <c r="AW118" s="1303">
        <f>IF('II. Inputs, Baseline Energy Mix'!$P$15=0,0,AW112*'II. Inputs, Baseline Energy Mix'!$P$105*(1+'II. Inputs, Baseline Energy Mix'!$P$106)^('IV. LCOE, Baseline Energy Mix'!AW$13-1))</f>
        <v>0</v>
      </c>
      <c r="AX118" s="1303">
        <f>IF('II. Inputs, Baseline Energy Mix'!$P$15=0,0,AX112*'II. Inputs, Baseline Energy Mix'!$P$105*(1+'II. Inputs, Baseline Energy Mix'!$P$106)^('IV. LCOE, Baseline Energy Mix'!AX$13-1))</f>
        <v>0</v>
      </c>
      <c r="AY118" s="1303">
        <f>IF('II. Inputs, Baseline Energy Mix'!$P$15=0,0,AY112*'II. Inputs, Baseline Energy Mix'!$P$105*(1+'II. Inputs, Baseline Energy Mix'!$P$106)^('IV. LCOE, Baseline Energy Mix'!AY$13-1))</f>
        <v>0</v>
      </c>
      <c r="AZ118" s="1303">
        <f>IF('II. Inputs, Baseline Energy Mix'!$P$15=0,0,AZ112*'II. Inputs, Baseline Energy Mix'!$P$105*(1+'II. Inputs, Baseline Energy Mix'!$P$106)^('IV. LCOE, Baseline Energy Mix'!AZ$13-1))</f>
        <v>0</v>
      </c>
      <c r="BA118" s="1303">
        <f>IF('II. Inputs, Baseline Energy Mix'!$P$15=0,0,BA112*'II. Inputs, Baseline Energy Mix'!$P$105*(1+'II. Inputs, Baseline Energy Mix'!$P$106)^('IV. LCOE, Baseline Energy Mix'!BA$13-1))</f>
        <v>0</v>
      </c>
      <c r="BB118" s="1303">
        <f>IF('II. Inputs, Baseline Energy Mix'!$P$15=0,0,BB112*'II. Inputs, Baseline Energy Mix'!$P$105*(1+'II. Inputs, Baseline Energy Mix'!$P$106)^('IV. LCOE, Baseline Energy Mix'!BB$13-1))</f>
        <v>0</v>
      </c>
      <c r="BC118" s="1303">
        <f>IF('II. Inputs, Baseline Energy Mix'!$P$15=0,0,BC112*'II. Inputs, Baseline Energy Mix'!$P$105*(1+'II. Inputs, Baseline Energy Mix'!$P$106)^('IV. LCOE, Baseline Energy Mix'!BC$13-1))</f>
        <v>0</v>
      </c>
      <c r="BD118" s="1303">
        <f>IF('II. Inputs, Baseline Energy Mix'!$P$15=0,0,BD112*'II. Inputs, Baseline Energy Mix'!$P$105*(1+'II. Inputs, Baseline Energy Mix'!$P$106)^('IV. LCOE, Baseline Energy Mix'!BD$13-1))</f>
        <v>0</v>
      </c>
      <c r="BE118" s="1304">
        <f>IF('II. Inputs, Baseline Energy Mix'!$P$15=0,0,BE112*'II. Inputs, Baseline Energy Mix'!$P$105*(1+'II. Inputs, Baseline Energy Mix'!$P$106)^('IV. LCOE, Baseline Energy Mix'!BE$13-1))</f>
        <v>0</v>
      </c>
    </row>
    <row r="119" spans="2:57" x14ac:dyDescent="0.25">
      <c r="B119" s="277"/>
      <c r="C119" s="278"/>
      <c r="D119" s="278"/>
      <c r="E119" s="281"/>
      <c r="F119" s="281"/>
      <c r="G119" s="278"/>
      <c r="H119" s="1180"/>
      <c r="I119" s="1180"/>
      <c r="J119" s="1180"/>
      <c r="K119" s="1180"/>
      <c r="L119" s="1180"/>
      <c r="M119" s="1180"/>
      <c r="N119" s="1180"/>
      <c r="O119" s="1180"/>
      <c r="P119" s="1180"/>
      <c r="Q119" s="1180"/>
      <c r="R119" s="1180"/>
      <c r="S119" s="1180"/>
      <c r="T119" s="1180"/>
      <c r="U119" s="1180"/>
      <c r="V119" s="1180"/>
      <c r="W119" s="1180"/>
      <c r="X119" s="1180"/>
      <c r="Y119" s="1180"/>
      <c r="Z119" s="1180"/>
      <c r="AA119" s="1180"/>
      <c r="AB119" s="1180"/>
      <c r="AC119" s="1180"/>
      <c r="AD119" s="1180"/>
      <c r="AE119" s="1180"/>
      <c r="AF119" s="1180"/>
      <c r="AG119" s="1180"/>
      <c r="AH119" s="1180"/>
      <c r="AI119" s="1180"/>
      <c r="AJ119" s="1180"/>
      <c r="AK119" s="1180"/>
      <c r="AL119" s="1180"/>
      <c r="AM119" s="1180"/>
      <c r="AN119" s="1180"/>
      <c r="AO119" s="1180"/>
      <c r="AP119" s="1180"/>
      <c r="AQ119" s="1180"/>
      <c r="AR119" s="1180"/>
      <c r="AS119" s="1180"/>
      <c r="AT119" s="1180"/>
      <c r="AU119" s="1180"/>
      <c r="AV119" s="1180"/>
      <c r="AW119" s="1180"/>
      <c r="AX119" s="1180"/>
      <c r="AY119" s="1180"/>
      <c r="AZ119" s="1180"/>
      <c r="BA119" s="1180"/>
      <c r="BB119" s="1180"/>
      <c r="BC119" s="1180"/>
      <c r="BD119" s="1180"/>
      <c r="BE119" s="1181"/>
    </row>
    <row r="120" spans="2:57" x14ac:dyDescent="0.25">
      <c r="B120" s="277" t="s">
        <v>38</v>
      </c>
      <c r="C120" s="278"/>
      <c r="D120" s="278"/>
      <c r="E120" s="281"/>
      <c r="F120" s="281" t="s">
        <v>626</v>
      </c>
      <c r="G120" s="278"/>
      <c r="H120" s="1301">
        <f>IF('II. Inputs, Baseline Energy Mix'!$P$96="Model Default",'IV. LCOE, Baseline Energy Mix'!H121,IF('II. Inputs, Baseline Energy Mix'!$P$96="User-defined, annually adjusted",'IV. LCOE, Baseline Energy Mix'!H122,IF('II. Inputs, Baseline Energy Mix'!$P$96="Manual Entry",'IV. LCOE, Baseline Energy Mix'!H124,H123)))</f>
        <v>0</v>
      </c>
      <c r="I120" s="1301">
        <f>IF('II. Inputs, Baseline Energy Mix'!$P$96="Model Default",'IV. LCOE, Baseline Energy Mix'!I121,IF('II. Inputs, Baseline Energy Mix'!$P$96="User-defined, annually adjusted",'IV. LCOE, Baseline Energy Mix'!I122,IF('II. Inputs, Baseline Energy Mix'!$P$96="Manual Entry",'IV. LCOE, Baseline Energy Mix'!I124,I123)))</f>
        <v>0</v>
      </c>
      <c r="J120" s="1301">
        <f>IF('II. Inputs, Baseline Energy Mix'!$P$96="Model Default",'IV. LCOE, Baseline Energy Mix'!J121,IF('II. Inputs, Baseline Energy Mix'!$P$96="User-defined, annually adjusted",'IV. LCOE, Baseline Energy Mix'!J122,IF('II. Inputs, Baseline Energy Mix'!$P$96="Manual Entry",'IV. LCOE, Baseline Energy Mix'!J124,J123)))</f>
        <v>0</v>
      </c>
      <c r="K120" s="1301">
        <f>IF('II. Inputs, Baseline Energy Mix'!$P$96="Model Default",'IV. LCOE, Baseline Energy Mix'!K121,IF('II. Inputs, Baseline Energy Mix'!$P$96="User-defined, annually adjusted",'IV. LCOE, Baseline Energy Mix'!K122,IF('II. Inputs, Baseline Energy Mix'!$P$96="Manual Entry",'IV. LCOE, Baseline Energy Mix'!K124,K123)))</f>
        <v>0</v>
      </c>
      <c r="L120" s="1301">
        <f>IF('II. Inputs, Baseline Energy Mix'!$P$96="Model Default",'IV. LCOE, Baseline Energy Mix'!L121,IF('II. Inputs, Baseline Energy Mix'!$P$96="User-defined, annually adjusted",'IV. LCOE, Baseline Energy Mix'!L122,IF('II. Inputs, Baseline Energy Mix'!$P$96="Manual Entry",'IV. LCOE, Baseline Energy Mix'!L124,L123)))</f>
        <v>0</v>
      </c>
      <c r="M120" s="1301">
        <f>IF('II. Inputs, Baseline Energy Mix'!$P$96="Model Default",'IV. LCOE, Baseline Energy Mix'!M121,IF('II. Inputs, Baseline Energy Mix'!$P$96="User-defined, annually adjusted",'IV. LCOE, Baseline Energy Mix'!M122,IF('II. Inputs, Baseline Energy Mix'!$P$96="Manual Entry",'IV. LCOE, Baseline Energy Mix'!M124,M123)))</f>
        <v>0</v>
      </c>
      <c r="N120" s="1301">
        <f>IF('II. Inputs, Baseline Energy Mix'!$P$96="Model Default",'IV. LCOE, Baseline Energy Mix'!N121,IF('II. Inputs, Baseline Energy Mix'!$P$96="User-defined, annually adjusted",'IV. LCOE, Baseline Energy Mix'!N122,IF('II. Inputs, Baseline Energy Mix'!$P$96="Manual Entry",'IV. LCOE, Baseline Energy Mix'!N124,N123)))</f>
        <v>0</v>
      </c>
      <c r="O120" s="1301">
        <f>IF('II. Inputs, Baseline Energy Mix'!$P$96="Model Default",'IV. LCOE, Baseline Energy Mix'!O121,IF('II. Inputs, Baseline Energy Mix'!$P$96="User-defined, annually adjusted",'IV. LCOE, Baseline Energy Mix'!O122,IF('II. Inputs, Baseline Energy Mix'!$P$96="Manual Entry",'IV. LCOE, Baseline Energy Mix'!O124,O123)))</f>
        <v>0</v>
      </c>
      <c r="P120" s="1301">
        <f>IF('II. Inputs, Baseline Energy Mix'!$P$96="Model Default",'IV. LCOE, Baseline Energy Mix'!P121,IF('II. Inputs, Baseline Energy Mix'!$P$96="User-defined, annually adjusted",'IV. LCOE, Baseline Energy Mix'!P122,IF('II. Inputs, Baseline Energy Mix'!$P$96="Manual Entry",'IV. LCOE, Baseline Energy Mix'!P124,P123)))</f>
        <v>0</v>
      </c>
      <c r="Q120" s="1301">
        <f>IF('II. Inputs, Baseline Energy Mix'!$P$96="Model Default",'IV. LCOE, Baseline Energy Mix'!Q121,IF('II. Inputs, Baseline Energy Mix'!$P$96="User-defined, annually adjusted",'IV. LCOE, Baseline Energy Mix'!Q122,IF('II. Inputs, Baseline Energy Mix'!$P$96="Manual Entry",'IV. LCOE, Baseline Energy Mix'!Q124,Q123)))</f>
        <v>0</v>
      </c>
      <c r="R120" s="1301">
        <f>IF('II. Inputs, Baseline Energy Mix'!$P$96="Model Default",'IV. LCOE, Baseline Energy Mix'!R121,IF('II. Inputs, Baseline Energy Mix'!$P$96="User-defined, annually adjusted",'IV. LCOE, Baseline Energy Mix'!R122,IF('II. Inputs, Baseline Energy Mix'!$P$96="Manual Entry",'IV. LCOE, Baseline Energy Mix'!R124,R123)))</f>
        <v>0</v>
      </c>
      <c r="S120" s="1301">
        <f>IF('II. Inputs, Baseline Energy Mix'!$P$96="Model Default",'IV. LCOE, Baseline Energy Mix'!S121,IF('II. Inputs, Baseline Energy Mix'!$P$96="User-defined, annually adjusted",'IV. LCOE, Baseline Energy Mix'!S122,IF('II. Inputs, Baseline Energy Mix'!$P$96="Manual Entry",'IV. LCOE, Baseline Energy Mix'!S124,S123)))</f>
        <v>0</v>
      </c>
      <c r="T120" s="1301">
        <f>IF('II. Inputs, Baseline Energy Mix'!$P$96="Model Default",'IV. LCOE, Baseline Energy Mix'!T121,IF('II. Inputs, Baseline Energy Mix'!$P$96="User-defined, annually adjusted",'IV. LCOE, Baseline Energy Mix'!T122,IF('II. Inputs, Baseline Energy Mix'!$P$96="Manual Entry",'IV. LCOE, Baseline Energy Mix'!T124,T123)))</f>
        <v>0</v>
      </c>
      <c r="U120" s="1301">
        <f>IF('II. Inputs, Baseline Energy Mix'!$P$96="Model Default",'IV. LCOE, Baseline Energy Mix'!U121,IF('II. Inputs, Baseline Energy Mix'!$P$96="User-defined, annually adjusted",'IV. LCOE, Baseline Energy Mix'!U122,IF('II. Inputs, Baseline Energy Mix'!$P$96="Manual Entry",'IV. LCOE, Baseline Energy Mix'!U124,U123)))</f>
        <v>0</v>
      </c>
      <c r="V120" s="1301">
        <f>IF('II. Inputs, Baseline Energy Mix'!$P$96="Model Default",'IV. LCOE, Baseline Energy Mix'!V121,IF('II. Inputs, Baseline Energy Mix'!$P$96="User-defined, annually adjusted",'IV. LCOE, Baseline Energy Mix'!V122,IF('II. Inputs, Baseline Energy Mix'!$P$96="Manual Entry",'IV. LCOE, Baseline Energy Mix'!V124,V123)))</f>
        <v>0</v>
      </c>
      <c r="W120" s="1301">
        <f>IF('II. Inputs, Baseline Energy Mix'!$P$96="Model Default",'IV. LCOE, Baseline Energy Mix'!W121,IF('II. Inputs, Baseline Energy Mix'!$P$96="User-defined, annually adjusted",'IV. LCOE, Baseline Energy Mix'!W122,IF('II. Inputs, Baseline Energy Mix'!$P$96="Manual Entry",'IV. LCOE, Baseline Energy Mix'!W124,W123)))</f>
        <v>0</v>
      </c>
      <c r="X120" s="1301">
        <f>IF('II. Inputs, Baseline Energy Mix'!$P$96="Model Default",'IV. LCOE, Baseline Energy Mix'!X121,IF('II. Inputs, Baseline Energy Mix'!$P$96="User-defined, annually adjusted",'IV. LCOE, Baseline Energy Mix'!X122,IF('II. Inputs, Baseline Energy Mix'!$P$96="Manual Entry",'IV. LCOE, Baseline Energy Mix'!X124,X123)))</f>
        <v>0</v>
      </c>
      <c r="Y120" s="1301">
        <f>IF('II. Inputs, Baseline Energy Mix'!$P$96="Model Default",'IV. LCOE, Baseline Energy Mix'!Y121,IF('II. Inputs, Baseline Energy Mix'!$P$96="User-defined, annually adjusted",'IV. LCOE, Baseline Energy Mix'!Y122,IF('II. Inputs, Baseline Energy Mix'!$P$96="Manual Entry",'IV. LCOE, Baseline Energy Mix'!Y124,Y123)))</f>
        <v>0</v>
      </c>
      <c r="Z120" s="1301">
        <f>IF('II. Inputs, Baseline Energy Mix'!$P$96="Model Default",'IV. LCOE, Baseline Energy Mix'!Z121,IF('II. Inputs, Baseline Energy Mix'!$P$96="User-defined, annually adjusted",'IV. LCOE, Baseline Energy Mix'!Z122,IF('II. Inputs, Baseline Energy Mix'!$P$96="Manual Entry",'IV. LCOE, Baseline Energy Mix'!Z124,Z123)))</f>
        <v>0</v>
      </c>
      <c r="AA120" s="1301">
        <f>IF('II. Inputs, Baseline Energy Mix'!$P$96="Model Default",'IV. LCOE, Baseline Energy Mix'!AA121,IF('II. Inputs, Baseline Energy Mix'!$P$96="User-defined, annually adjusted",'IV. LCOE, Baseline Energy Mix'!AA122,IF('II. Inputs, Baseline Energy Mix'!$P$96="Manual Entry",'IV. LCOE, Baseline Energy Mix'!AA124,AA123)))</f>
        <v>0</v>
      </c>
      <c r="AB120" s="1301">
        <f>IF('II. Inputs, Baseline Energy Mix'!$P$96="Model Default",'IV. LCOE, Baseline Energy Mix'!AB121,IF('II. Inputs, Baseline Energy Mix'!$P$96="User-defined, annually adjusted",'IV. LCOE, Baseline Energy Mix'!AB122,IF('II. Inputs, Baseline Energy Mix'!$P$96="Manual Entry",'IV. LCOE, Baseline Energy Mix'!AB124,AB123)))</f>
        <v>0</v>
      </c>
      <c r="AC120" s="1301">
        <f>IF('II. Inputs, Baseline Energy Mix'!$P$96="Model Default",'IV. LCOE, Baseline Energy Mix'!AC121,IF('II. Inputs, Baseline Energy Mix'!$P$96="User-defined, annually adjusted",'IV. LCOE, Baseline Energy Mix'!AC122,IF('II. Inputs, Baseline Energy Mix'!$P$96="Manual Entry",'IV. LCOE, Baseline Energy Mix'!AC124,AC123)))</f>
        <v>0</v>
      </c>
      <c r="AD120" s="1301">
        <f>IF('II. Inputs, Baseline Energy Mix'!$P$96="Model Default",'IV. LCOE, Baseline Energy Mix'!AD121,IF('II. Inputs, Baseline Energy Mix'!$P$96="User-defined, annually adjusted",'IV. LCOE, Baseline Energy Mix'!AD122,IF('II. Inputs, Baseline Energy Mix'!$P$96="Manual Entry",'IV. LCOE, Baseline Energy Mix'!AD124,AD123)))</f>
        <v>0</v>
      </c>
      <c r="AE120" s="1301">
        <f>IF('II. Inputs, Baseline Energy Mix'!$P$96="Model Default",'IV. LCOE, Baseline Energy Mix'!AE121,IF('II. Inputs, Baseline Energy Mix'!$P$96="User-defined, annually adjusted",'IV. LCOE, Baseline Energy Mix'!AE122,IF('II. Inputs, Baseline Energy Mix'!$P$96="Manual Entry",'IV. LCOE, Baseline Energy Mix'!AE124,AE123)))</f>
        <v>0</v>
      </c>
      <c r="AF120" s="1301">
        <f>IF('II. Inputs, Baseline Energy Mix'!$P$96="Model Default",'IV. LCOE, Baseline Energy Mix'!AF121,IF('II. Inputs, Baseline Energy Mix'!$P$96="User-defined, annually adjusted",'IV. LCOE, Baseline Energy Mix'!AF122,IF('II. Inputs, Baseline Energy Mix'!$P$96="Manual Entry",'IV. LCOE, Baseline Energy Mix'!AF124,AF123)))</f>
        <v>0</v>
      </c>
      <c r="AG120" s="1301">
        <f>IF('II. Inputs, Baseline Energy Mix'!$P$96="Model Default",'IV. LCOE, Baseline Energy Mix'!AG121,IF('II. Inputs, Baseline Energy Mix'!$P$96="User-defined, annually adjusted",'IV. LCOE, Baseline Energy Mix'!AG122,IF('II. Inputs, Baseline Energy Mix'!$P$96="Manual Entry",'IV. LCOE, Baseline Energy Mix'!AG124,AG123)))</f>
        <v>0</v>
      </c>
      <c r="AH120" s="1301">
        <f>IF('II. Inputs, Baseline Energy Mix'!$P$96="Model Default",'IV. LCOE, Baseline Energy Mix'!AH121,IF('II. Inputs, Baseline Energy Mix'!$P$96="User-defined, annually adjusted",'IV. LCOE, Baseline Energy Mix'!AH122,IF('II. Inputs, Baseline Energy Mix'!$P$96="Manual Entry",'IV. LCOE, Baseline Energy Mix'!AH124,AH123)))</f>
        <v>0</v>
      </c>
      <c r="AI120" s="1301">
        <f>IF('II. Inputs, Baseline Energy Mix'!$P$96="Model Default",'IV. LCOE, Baseline Energy Mix'!AI121,IF('II. Inputs, Baseline Energy Mix'!$P$96="User-defined, annually adjusted",'IV. LCOE, Baseline Energy Mix'!AI122,IF('II. Inputs, Baseline Energy Mix'!$P$96="Manual Entry",'IV. LCOE, Baseline Energy Mix'!AI124,AI123)))</f>
        <v>0</v>
      </c>
      <c r="AJ120" s="1301">
        <f>IF('II. Inputs, Baseline Energy Mix'!$P$96="Model Default",'IV. LCOE, Baseline Energy Mix'!AJ121,IF('II. Inputs, Baseline Energy Mix'!$P$96="User-defined, annually adjusted",'IV. LCOE, Baseline Energy Mix'!AJ122,IF('II. Inputs, Baseline Energy Mix'!$P$96="Manual Entry",'IV. LCOE, Baseline Energy Mix'!AJ124,AJ123)))</f>
        <v>0</v>
      </c>
      <c r="AK120" s="1301">
        <f>IF('II. Inputs, Baseline Energy Mix'!$P$96="Model Default",'IV. LCOE, Baseline Energy Mix'!AK121,IF('II. Inputs, Baseline Energy Mix'!$P$96="User-defined, annually adjusted",'IV. LCOE, Baseline Energy Mix'!AK122,IF('II. Inputs, Baseline Energy Mix'!$P$96="Manual Entry",'IV. LCOE, Baseline Energy Mix'!AK124,AK123)))</f>
        <v>0</v>
      </c>
      <c r="AL120" s="1301">
        <f>IF('II. Inputs, Baseline Energy Mix'!$P$96="Model Default",'IV. LCOE, Baseline Energy Mix'!AL121,IF('II. Inputs, Baseline Energy Mix'!$P$96="User-defined, annually adjusted",'IV. LCOE, Baseline Energy Mix'!AL122,IF('II. Inputs, Baseline Energy Mix'!$P$96="Manual Entry",'IV. LCOE, Baseline Energy Mix'!AL124,AL123)))</f>
        <v>0</v>
      </c>
      <c r="AM120" s="1301">
        <f>IF('II. Inputs, Baseline Energy Mix'!$P$96="Model Default",'IV. LCOE, Baseline Energy Mix'!AM121,IF('II. Inputs, Baseline Energy Mix'!$P$96="User-defined, annually adjusted",'IV. LCOE, Baseline Energy Mix'!AM122,IF('II. Inputs, Baseline Energy Mix'!$P$96="Manual Entry",'IV. LCOE, Baseline Energy Mix'!AM124,AM123)))</f>
        <v>0</v>
      </c>
      <c r="AN120" s="1301">
        <f>IF('II. Inputs, Baseline Energy Mix'!$P$96="Model Default",'IV. LCOE, Baseline Energy Mix'!AN121,IF('II. Inputs, Baseline Energy Mix'!$P$96="User-defined, annually adjusted",'IV. LCOE, Baseline Energy Mix'!AN122,IF('II. Inputs, Baseline Energy Mix'!$P$96="Manual Entry",'IV. LCOE, Baseline Energy Mix'!AN124,AN123)))</f>
        <v>0</v>
      </c>
      <c r="AO120" s="1301">
        <f>IF('II. Inputs, Baseline Energy Mix'!$P$96="Model Default",'IV. LCOE, Baseline Energy Mix'!AO121,IF('II. Inputs, Baseline Energy Mix'!$P$96="User-defined, annually adjusted",'IV. LCOE, Baseline Energy Mix'!AO122,IF('II. Inputs, Baseline Energy Mix'!$P$96="Manual Entry",'IV. LCOE, Baseline Energy Mix'!AO124,AO123)))</f>
        <v>0</v>
      </c>
      <c r="AP120" s="1301">
        <f>IF('II. Inputs, Baseline Energy Mix'!$P$96="Model Default",'IV. LCOE, Baseline Energy Mix'!AP121,IF('II. Inputs, Baseline Energy Mix'!$P$96="User-defined, annually adjusted",'IV. LCOE, Baseline Energy Mix'!AP122,IF('II. Inputs, Baseline Energy Mix'!$P$96="Manual Entry",'IV. LCOE, Baseline Energy Mix'!AP124,AP123)))</f>
        <v>0</v>
      </c>
      <c r="AQ120" s="1301">
        <f>IF('II. Inputs, Baseline Energy Mix'!$P$96="Model Default",'IV. LCOE, Baseline Energy Mix'!AQ121,IF('II. Inputs, Baseline Energy Mix'!$P$96="User-defined, annually adjusted",'IV. LCOE, Baseline Energy Mix'!AQ122,IF('II. Inputs, Baseline Energy Mix'!$P$96="Manual Entry",'IV. LCOE, Baseline Energy Mix'!AQ124,AQ123)))</f>
        <v>0</v>
      </c>
      <c r="AR120" s="1301">
        <f>IF('II. Inputs, Baseline Energy Mix'!$P$96="Model Default",'IV. LCOE, Baseline Energy Mix'!AR121,IF('II. Inputs, Baseline Energy Mix'!$P$96="User-defined, annually adjusted",'IV. LCOE, Baseline Energy Mix'!AR122,IF('II. Inputs, Baseline Energy Mix'!$P$96="Manual Entry",'IV. LCOE, Baseline Energy Mix'!AR124,AR123)))</f>
        <v>0</v>
      </c>
      <c r="AS120" s="1301">
        <f>IF('II. Inputs, Baseline Energy Mix'!$P$96="Model Default",'IV. LCOE, Baseline Energy Mix'!AS121,IF('II. Inputs, Baseline Energy Mix'!$P$96="User-defined, annually adjusted",'IV. LCOE, Baseline Energy Mix'!AS122,IF('II. Inputs, Baseline Energy Mix'!$P$96="Manual Entry",'IV. LCOE, Baseline Energy Mix'!AS124,AS123)))</f>
        <v>0</v>
      </c>
      <c r="AT120" s="1301">
        <f>IF('II. Inputs, Baseline Energy Mix'!$P$96="Model Default",'IV. LCOE, Baseline Energy Mix'!AT121,IF('II. Inputs, Baseline Energy Mix'!$P$96="User-defined, annually adjusted",'IV. LCOE, Baseline Energy Mix'!AT122,IF('II. Inputs, Baseline Energy Mix'!$P$96="Manual Entry",'IV. LCOE, Baseline Energy Mix'!AT124,AT123)))</f>
        <v>0</v>
      </c>
      <c r="AU120" s="1301">
        <f>IF('II. Inputs, Baseline Energy Mix'!$P$96="Model Default",'IV. LCOE, Baseline Energy Mix'!AU121,IF('II. Inputs, Baseline Energy Mix'!$P$96="User-defined, annually adjusted",'IV. LCOE, Baseline Energy Mix'!AU122,IF('II. Inputs, Baseline Energy Mix'!$P$96="Manual Entry",'IV. LCOE, Baseline Energy Mix'!AU124,AU123)))</f>
        <v>0</v>
      </c>
      <c r="AV120" s="1301">
        <f>IF('II. Inputs, Baseline Energy Mix'!$P$96="Model Default",'IV. LCOE, Baseline Energy Mix'!AV121,IF('II. Inputs, Baseline Energy Mix'!$P$96="User-defined, annually adjusted",'IV. LCOE, Baseline Energy Mix'!AV122,IF('II. Inputs, Baseline Energy Mix'!$P$96="Manual Entry",'IV. LCOE, Baseline Energy Mix'!AV124,AV123)))</f>
        <v>0</v>
      </c>
      <c r="AW120" s="1301">
        <f>IF('II. Inputs, Baseline Energy Mix'!$P$96="Model Default",'IV. LCOE, Baseline Energy Mix'!AW121,IF('II. Inputs, Baseline Energy Mix'!$P$96="User-defined, annually adjusted",'IV. LCOE, Baseline Energy Mix'!AW122,IF('II. Inputs, Baseline Energy Mix'!$P$96="Manual Entry",'IV. LCOE, Baseline Energy Mix'!AW124,AW123)))</f>
        <v>0</v>
      </c>
      <c r="AX120" s="1301">
        <f>IF('II. Inputs, Baseline Energy Mix'!$P$96="Model Default",'IV. LCOE, Baseline Energy Mix'!AX121,IF('II. Inputs, Baseline Energy Mix'!$P$96="User-defined, annually adjusted",'IV. LCOE, Baseline Energy Mix'!AX122,IF('II. Inputs, Baseline Energy Mix'!$P$96="Manual Entry",'IV. LCOE, Baseline Energy Mix'!AX124,AX123)))</f>
        <v>0</v>
      </c>
      <c r="AY120" s="1301">
        <f>IF('II. Inputs, Baseline Energy Mix'!$P$96="Model Default",'IV. LCOE, Baseline Energy Mix'!AY121,IF('II. Inputs, Baseline Energy Mix'!$P$96="User-defined, annually adjusted",'IV. LCOE, Baseline Energy Mix'!AY122,IF('II. Inputs, Baseline Energy Mix'!$P$96="Manual Entry",'IV. LCOE, Baseline Energy Mix'!AY124,AY123)))</f>
        <v>0</v>
      </c>
      <c r="AZ120" s="1301">
        <f>IF('II. Inputs, Baseline Energy Mix'!$P$96="Model Default",'IV. LCOE, Baseline Energy Mix'!AZ121,IF('II. Inputs, Baseline Energy Mix'!$P$96="User-defined, annually adjusted",'IV. LCOE, Baseline Energy Mix'!AZ122,IF('II. Inputs, Baseline Energy Mix'!$P$96="Manual Entry",'IV. LCOE, Baseline Energy Mix'!AZ124,AZ123)))</f>
        <v>0</v>
      </c>
      <c r="BA120" s="1301">
        <f>IF('II. Inputs, Baseline Energy Mix'!$P$96="Model Default",'IV. LCOE, Baseline Energy Mix'!BA121,IF('II. Inputs, Baseline Energy Mix'!$P$96="User-defined, annually adjusted",'IV. LCOE, Baseline Energy Mix'!BA122,IF('II. Inputs, Baseline Energy Mix'!$P$96="Manual Entry",'IV. LCOE, Baseline Energy Mix'!BA124,BA123)))</f>
        <v>0</v>
      </c>
      <c r="BB120" s="1301">
        <f>IF('II. Inputs, Baseline Energy Mix'!$P$96="Model Default",'IV. LCOE, Baseline Energy Mix'!BB121,IF('II. Inputs, Baseline Energy Mix'!$P$96="User-defined, annually adjusted",'IV. LCOE, Baseline Energy Mix'!BB122,IF('II. Inputs, Baseline Energy Mix'!$P$96="Manual Entry",'IV. LCOE, Baseline Energy Mix'!BB124,BB123)))</f>
        <v>0</v>
      </c>
      <c r="BC120" s="1301">
        <f>IF('II. Inputs, Baseline Energy Mix'!$P$96="Model Default",'IV. LCOE, Baseline Energy Mix'!BC121,IF('II. Inputs, Baseline Energy Mix'!$P$96="User-defined, annually adjusted",'IV. LCOE, Baseline Energy Mix'!BC122,IF('II. Inputs, Baseline Energy Mix'!$P$96="Manual Entry",'IV. LCOE, Baseline Energy Mix'!BC124,BC123)))</f>
        <v>0</v>
      </c>
      <c r="BD120" s="1301">
        <f>IF('II. Inputs, Baseline Energy Mix'!$P$96="Model Default",'IV. LCOE, Baseline Energy Mix'!BD121,IF('II. Inputs, Baseline Energy Mix'!$P$96="User-defined, annually adjusted",'IV. LCOE, Baseline Energy Mix'!BD122,IF('II. Inputs, Baseline Energy Mix'!$P$96="Manual Entry",'IV. LCOE, Baseline Energy Mix'!BD124,BD123)))</f>
        <v>0</v>
      </c>
      <c r="BE120" s="1302">
        <f>IF('II. Inputs, Baseline Energy Mix'!$P$96="Model Default",'IV. LCOE, Baseline Energy Mix'!BE121,IF('II. Inputs, Baseline Energy Mix'!$P$96="User-defined, annually adjusted",'IV. LCOE, Baseline Energy Mix'!BE122,IF('II. Inputs, Baseline Energy Mix'!$P$96="Manual Entry",'IV. LCOE, Baseline Energy Mix'!BE124,BE123)))</f>
        <v>0</v>
      </c>
    </row>
    <row r="121" spans="2:57" outlineLevel="1" x14ac:dyDescent="0.25">
      <c r="B121" s="277"/>
      <c r="C121" s="278" t="s">
        <v>159</v>
      </c>
      <c r="D121" s="278"/>
      <c r="E121" s="281"/>
      <c r="F121" s="281"/>
      <c r="G121" s="278"/>
      <c r="H121" s="1301">
        <f>H112*VLOOKUP('IV. LCOE, Baseline Energy Mix'!H$13,'VII. Additional Data'!$C$17:$V$66,5, FALSE)</f>
        <v>0</v>
      </c>
      <c r="I121" s="1301">
        <f>I112*VLOOKUP('IV. LCOE, Baseline Energy Mix'!I$13,'VII. Additional Data'!$C$17:$V$66,5, FALSE)</f>
        <v>0</v>
      </c>
      <c r="J121" s="1301">
        <f>J112*VLOOKUP('IV. LCOE, Baseline Energy Mix'!J$13,'VII. Additional Data'!$C$17:$V$66,5, FALSE)</f>
        <v>0</v>
      </c>
      <c r="K121" s="1301">
        <f>K112*VLOOKUP('IV. LCOE, Baseline Energy Mix'!K$13,'VII. Additional Data'!$C$17:$V$66,5, FALSE)</f>
        <v>0</v>
      </c>
      <c r="L121" s="1301">
        <f>L112*VLOOKUP('IV. LCOE, Baseline Energy Mix'!L$13,'VII. Additional Data'!$C$17:$V$66,5, FALSE)</f>
        <v>0</v>
      </c>
      <c r="M121" s="1301">
        <f>M112*VLOOKUP('IV. LCOE, Baseline Energy Mix'!M$13,'VII. Additional Data'!$C$17:$V$66,5, FALSE)</f>
        <v>0</v>
      </c>
      <c r="N121" s="1301">
        <f>N112*VLOOKUP('IV. LCOE, Baseline Energy Mix'!N$13,'VII. Additional Data'!$C$17:$V$66,5, FALSE)</f>
        <v>0</v>
      </c>
      <c r="O121" s="1301">
        <f>O112*VLOOKUP('IV. LCOE, Baseline Energy Mix'!O$13,'VII. Additional Data'!$C$17:$V$66,5, FALSE)</f>
        <v>0</v>
      </c>
      <c r="P121" s="1301">
        <f>P112*VLOOKUP('IV. LCOE, Baseline Energy Mix'!P$13,'VII. Additional Data'!$C$17:$V$66,5, FALSE)</f>
        <v>0</v>
      </c>
      <c r="Q121" s="1301">
        <f>Q112*VLOOKUP('IV. LCOE, Baseline Energy Mix'!Q$13,'VII. Additional Data'!$C$17:$V$66,5, FALSE)</f>
        <v>0</v>
      </c>
      <c r="R121" s="1301">
        <f>R112*VLOOKUP('IV. LCOE, Baseline Energy Mix'!R$13,'VII. Additional Data'!$C$17:$V$66,5, FALSE)</f>
        <v>0</v>
      </c>
      <c r="S121" s="1301">
        <f>S112*VLOOKUP('IV. LCOE, Baseline Energy Mix'!S$13,'VII. Additional Data'!$C$17:$V$66,5, FALSE)</f>
        <v>0</v>
      </c>
      <c r="T121" s="1301">
        <f>T112*VLOOKUP('IV. LCOE, Baseline Energy Mix'!T$13,'VII. Additional Data'!$C$17:$V$66,5, FALSE)</f>
        <v>0</v>
      </c>
      <c r="U121" s="1301">
        <f>U112*VLOOKUP('IV. LCOE, Baseline Energy Mix'!U$13,'VII. Additional Data'!$C$17:$V$66,5, FALSE)</f>
        <v>0</v>
      </c>
      <c r="V121" s="1301">
        <f>V112*VLOOKUP('IV. LCOE, Baseline Energy Mix'!V$13,'VII. Additional Data'!$C$17:$V$66,5, FALSE)</f>
        <v>0</v>
      </c>
      <c r="W121" s="1301">
        <f>W112*VLOOKUP('IV. LCOE, Baseline Energy Mix'!W$13,'VII. Additional Data'!$C$17:$V$66,5, FALSE)</f>
        <v>0</v>
      </c>
      <c r="X121" s="1301">
        <f>X112*VLOOKUP('IV. LCOE, Baseline Energy Mix'!X$13,'VII. Additional Data'!$C$17:$V$66,5, FALSE)</f>
        <v>0</v>
      </c>
      <c r="Y121" s="1301">
        <f>Y112*VLOOKUP('IV. LCOE, Baseline Energy Mix'!Y$13,'VII. Additional Data'!$C$17:$V$66,5, FALSE)</f>
        <v>0</v>
      </c>
      <c r="Z121" s="1301">
        <f>Z112*VLOOKUP('IV. LCOE, Baseline Energy Mix'!Z$13,'VII. Additional Data'!$C$17:$V$66,5, FALSE)</f>
        <v>0</v>
      </c>
      <c r="AA121" s="1301">
        <f>AA112*VLOOKUP('IV. LCOE, Baseline Energy Mix'!AA$13,'VII. Additional Data'!$C$17:$V$66,5, FALSE)</f>
        <v>0</v>
      </c>
      <c r="AB121" s="1301">
        <f>AB112*VLOOKUP('IV. LCOE, Baseline Energy Mix'!AB$13,'VII. Additional Data'!$C$17:$V$66,5, FALSE)</f>
        <v>0</v>
      </c>
      <c r="AC121" s="1301">
        <f>AC112*VLOOKUP('IV. LCOE, Baseline Energy Mix'!AC$13,'VII. Additional Data'!$C$17:$V$66,5, FALSE)</f>
        <v>0</v>
      </c>
      <c r="AD121" s="1301">
        <f>AD112*VLOOKUP('IV. LCOE, Baseline Energy Mix'!AD$13,'VII. Additional Data'!$C$17:$V$66,5, FALSE)</f>
        <v>0</v>
      </c>
      <c r="AE121" s="1301">
        <f>AE112*VLOOKUP('IV. LCOE, Baseline Energy Mix'!AE$13,'VII. Additional Data'!$C$17:$V$66,5, FALSE)</f>
        <v>0</v>
      </c>
      <c r="AF121" s="1301">
        <f>AF112*VLOOKUP('IV. LCOE, Baseline Energy Mix'!AF$13,'VII. Additional Data'!$C$17:$V$66,5, FALSE)</f>
        <v>0</v>
      </c>
      <c r="AG121" s="1301">
        <f>AG112*VLOOKUP('IV. LCOE, Baseline Energy Mix'!AG$13,'VII. Additional Data'!$C$17:$V$66,5, FALSE)</f>
        <v>0</v>
      </c>
      <c r="AH121" s="1301">
        <f>AH112*VLOOKUP('IV. LCOE, Baseline Energy Mix'!AH$13,'VII. Additional Data'!$C$17:$V$66,5, FALSE)</f>
        <v>0</v>
      </c>
      <c r="AI121" s="1301">
        <f>AI112*VLOOKUP('IV. LCOE, Baseline Energy Mix'!AI$13,'VII. Additional Data'!$C$17:$V$66,5, FALSE)</f>
        <v>0</v>
      </c>
      <c r="AJ121" s="1301">
        <f>AJ112*VLOOKUP('IV. LCOE, Baseline Energy Mix'!AJ$13,'VII. Additional Data'!$C$17:$V$66,5, FALSE)</f>
        <v>0</v>
      </c>
      <c r="AK121" s="1301">
        <f>AK112*VLOOKUP('IV. LCOE, Baseline Energy Mix'!AK$13,'VII. Additional Data'!$C$17:$V$66,5, FALSE)</f>
        <v>0</v>
      </c>
      <c r="AL121" s="1301">
        <f>AL112*VLOOKUP('IV. LCOE, Baseline Energy Mix'!AL$13,'VII. Additional Data'!$C$17:$V$66,5, FALSE)</f>
        <v>0</v>
      </c>
      <c r="AM121" s="1301">
        <f>AM112*VLOOKUP('IV. LCOE, Baseline Energy Mix'!AM$13,'VII. Additional Data'!$C$17:$V$66,5, FALSE)</f>
        <v>0</v>
      </c>
      <c r="AN121" s="1301">
        <f>AN112*VLOOKUP('IV. LCOE, Baseline Energy Mix'!AN$13,'VII. Additional Data'!$C$17:$V$66,5, FALSE)</f>
        <v>0</v>
      </c>
      <c r="AO121" s="1301">
        <f>AO112*VLOOKUP('IV. LCOE, Baseline Energy Mix'!AO$13,'VII. Additional Data'!$C$17:$V$66,5, FALSE)</f>
        <v>0</v>
      </c>
      <c r="AP121" s="1301">
        <f>AP112*VLOOKUP('IV. LCOE, Baseline Energy Mix'!AP$13,'VII. Additional Data'!$C$17:$V$66,5, FALSE)</f>
        <v>0</v>
      </c>
      <c r="AQ121" s="1301">
        <f>AQ112*VLOOKUP('IV. LCOE, Baseline Energy Mix'!AQ$13,'VII. Additional Data'!$C$17:$V$66,5, FALSE)</f>
        <v>0</v>
      </c>
      <c r="AR121" s="1301">
        <f>AR112*VLOOKUP('IV. LCOE, Baseline Energy Mix'!AR$13,'VII. Additional Data'!$C$17:$V$66,5, FALSE)</f>
        <v>0</v>
      </c>
      <c r="AS121" s="1301">
        <f>AS112*VLOOKUP('IV. LCOE, Baseline Energy Mix'!AS$13,'VII. Additional Data'!$C$17:$V$66,5, FALSE)</f>
        <v>0</v>
      </c>
      <c r="AT121" s="1301">
        <f>AT112*VLOOKUP('IV. LCOE, Baseline Energy Mix'!AT$13,'VII. Additional Data'!$C$17:$V$66,5, FALSE)</f>
        <v>0</v>
      </c>
      <c r="AU121" s="1301">
        <f>AU112*VLOOKUP('IV. LCOE, Baseline Energy Mix'!AU$13,'VII. Additional Data'!$C$17:$V$66,5, FALSE)</f>
        <v>0</v>
      </c>
      <c r="AV121" s="1301">
        <f>AV112*VLOOKUP('IV. LCOE, Baseline Energy Mix'!AV$13,'VII. Additional Data'!$C$17:$V$66,5, FALSE)</f>
        <v>0</v>
      </c>
      <c r="AW121" s="1301">
        <f>AW112*VLOOKUP('IV. LCOE, Baseline Energy Mix'!AW$13,'VII. Additional Data'!$C$17:$V$66,5, FALSE)</f>
        <v>0</v>
      </c>
      <c r="AX121" s="1301">
        <f>AX112*VLOOKUP('IV. LCOE, Baseline Energy Mix'!AX$13,'VII. Additional Data'!$C$17:$V$66,5, FALSE)</f>
        <v>0</v>
      </c>
      <c r="AY121" s="1301">
        <f>AY112*VLOOKUP('IV. LCOE, Baseline Energy Mix'!AY$13,'VII. Additional Data'!$C$17:$V$66,5, FALSE)</f>
        <v>0</v>
      </c>
      <c r="AZ121" s="1301">
        <f>AZ112*VLOOKUP('IV. LCOE, Baseline Energy Mix'!AZ$13,'VII. Additional Data'!$C$17:$V$66,5, FALSE)</f>
        <v>0</v>
      </c>
      <c r="BA121" s="1301">
        <f>BA112*VLOOKUP('IV. LCOE, Baseline Energy Mix'!BA$13,'VII. Additional Data'!$C$17:$V$66,5, FALSE)</f>
        <v>0</v>
      </c>
      <c r="BB121" s="1301">
        <f>BB112*VLOOKUP('IV. LCOE, Baseline Energy Mix'!BB$13,'VII. Additional Data'!$C$17:$V$66,5, FALSE)</f>
        <v>0</v>
      </c>
      <c r="BC121" s="1301">
        <f>BC112*VLOOKUP('IV. LCOE, Baseline Energy Mix'!BC$13,'VII. Additional Data'!$C$17:$V$66,5, FALSE)</f>
        <v>0</v>
      </c>
      <c r="BD121" s="1301">
        <f>BD112*VLOOKUP('IV. LCOE, Baseline Energy Mix'!BD$13,'VII. Additional Data'!$C$17:$V$66,5, FALSE)</f>
        <v>0</v>
      </c>
      <c r="BE121" s="1302">
        <f>BE112*VLOOKUP('IV. LCOE, Baseline Energy Mix'!BE$13,'VII. Additional Data'!$C$17:$V$66,5, FALSE)</f>
        <v>0</v>
      </c>
    </row>
    <row r="122" spans="2:57" outlineLevel="1" x14ac:dyDescent="0.25">
      <c r="B122" s="277"/>
      <c r="C122" s="278" t="s">
        <v>160</v>
      </c>
      <c r="D122" s="278"/>
      <c r="E122" s="281"/>
      <c r="F122" s="281"/>
      <c r="G122" s="278"/>
      <c r="H122" s="1301">
        <f xml:space="preserve"> H112*'II. Inputs, Baseline Energy Mix'!$P$98*(1+'II. Inputs, Baseline Energy Mix'!$P$99)^('IV. LCOE, Baseline Energy Mix'!H$13-1)</f>
        <v>0</v>
      </c>
      <c r="I122" s="1301">
        <f xml:space="preserve"> I112*'II. Inputs, Baseline Energy Mix'!$P$98*(1+'II. Inputs, Baseline Energy Mix'!$P$99)^('IV. LCOE, Baseline Energy Mix'!I$13-1)</f>
        <v>0</v>
      </c>
      <c r="J122" s="1301">
        <f xml:space="preserve"> J112*'II. Inputs, Baseline Energy Mix'!$P$98*(1+'II. Inputs, Baseline Energy Mix'!$P$99)^('IV. LCOE, Baseline Energy Mix'!J$13-1)</f>
        <v>0</v>
      </c>
      <c r="K122" s="1301">
        <f xml:space="preserve"> K112*'II. Inputs, Baseline Energy Mix'!$P$98*(1+'II. Inputs, Baseline Energy Mix'!$P$99)^('IV. LCOE, Baseline Energy Mix'!K$13-1)</f>
        <v>0</v>
      </c>
      <c r="L122" s="1301">
        <f xml:space="preserve"> L112*'II. Inputs, Baseline Energy Mix'!$P$98*(1+'II. Inputs, Baseline Energy Mix'!$P$99)^('IV. LCOE, Baseline Energy Mix'!L$13-1)</f>
        <v>0</v>
      </c>
      <c r="M122" s="1301">
        <f xml:space="preserve"> M112*'II. Inputs, Baseline Energy Mix'!$P$98*(1+'II. Inputs, Baseline Energy Mix'!$P$99)^('IV. LCOE, Baseline Energy Mix'!M$13-1)</f>
        <v>0</v>
      </c>
      <c r="N122" s="1301">
        <f xml:space="preserve"> N112*'II. Inputs, Baseline Energy Mix'!$P$98*(1+'II. Inputs, Baseline Energy Mix'!$P$99)^('IV. LCOE, Baseline Energy Mix'!N$13-1)</f>
        <v>0</v>
      </c>
      <c r="O122" s="1301">
        <f xml:space="preserve"> O112*'II. Inputs, Baseline Energy Mix'!$P$98*(1+'II. Inputs, Baseline Energy Mix'!$P$99)^('IV. LCOE, Baseline Energy Mix'!O$13-1)</f>
        <v>0</v>
      </c>
      <c r="P122" s="1301">
        <f xml:space="preserve"> P112*'II. Inputs, Baseline Energy Mix'!$P$98*(1+'II. Inputs, Baseline Energy Mix'!$P$99)^('IV. LCOE, Baseline Energy Mix'!P$13-1)</f>
        <v>0</v>
      </c>
      <c r="Q122" s="1301">
        <f xml:space="preserve"> Q112*'II. Inputs, Baseline Energy Mix'!$P$98*(1+'II. Inputs, Baseline Energy Mix'!$P$99)^('IV. LCOE, Baseline Energy Mix'!Q$13-1)</f>
        <v>0</v>
      </c>
      <c r="R122" s="1301">
        <f xml:space="preserve"> R112*'II. Inputs, Baseline Energy Mix'!$P$98*(1+'II. Inputs, Baseline Energy Mix'!$P$99)^('IV. LCOE, Baseline Energy Mix'!R$13-1)</f>
        <v>0</v>
      </c>
      <c r="S122" s="1301">
        <f xml:space="preserve"> S112*'II. Inputs, Baseline Energy Mix'!$P$98*(1+'II. Inputs, Baseline Energy Mix'!$P$99)^('IV. LCOE, Baseline Energy Mix'!S$13-1)</f>
        <v>0</v>
      </c>
      <c r="T122" s="1301">
        <f xml:space="preserve"> T112*'II. Inputs, Baseline Energy Mix'!$P$98*(1+'II. Inputs, Baseline Energy Mix'!$P$99)^('IV. LCOE, Baseline Energy Mix'!T$13-1)</f>
        <v>0</v>
      </c>
      <c r="U122" s="1301">
        <f xml:space="preserve"> U112*'II. Inputs, Baseline Energy Mix'!$P$98*(1+'II. Inputs, Baseline Energy Mix'!$P$99)^('IV. LCOE, Baseline Energy Mix'!U$13-1)</f>
        <v>0</v>
      </c>
      <c r="V122" s="1301">
        <f xml:space="preserve"> V112*'II. Inputs, Baseline Energy Mix'!$P$98*(1+'II. Inputs, Baseline Energy Mix'!$P$99)^('IV. LCOE, Baseline Energy Mix'!V$13-1)</f>
        <v>0</v>
      </c>
      <c r="W122" s="1301">
        <f xml:space="preserve"> W112*'II. Inputs, Baseline Energy Mix'!$P$98*(1+'II. Inputs, Baseline Energy Mix'!$P$99)^('IV. LCOE, Baseline Energy Mix'!W$13-1)</f>
        <v>0</v>
      </c>
      <c r="X122" s="1301">
        <f xml:space="preserve"> X112*'II. Inputs, Baseline Energy Mix'!$P$98*(1+'II. Inputs, Baseline Energy Mix'!$P$99)^('IV. LCOE, Baseline Energy Mix'!X$13-1)</f>
        <v>0</v>
      </c>
      <c r="Y122" s="1301">
        <f xml:space="preserve"> Y112*'II. Inputs, Baseline Energy Mix'!$P$98*(1+'II. Inputs, Baseline Energy Mix'!$P$99)^('IV. LCOE, Baseline Energy Mix'!Y$13-1)</f>
        <v>0</v>
      </c>
      <c r="Z122" s="1301">
        <f xml:space="preserve"> Z112*'II. Inputs, Baseline Energy Mix'!$P$98*(1+'II. Inputs, Baseline Energy Mix'!$P$99)^('IV. LCOE, Baseline Energy Mix'!Z$13-1)</f>
        <v>0</v>
      </c>
      <c r="AA122" s="1301">
        <f xml:space="preserve"> AA112*'II. Inputs, Baseline Energy Mix'!$P$98*(1+'II. Inputs, Baseline Energy Mix'!$P$99)^('IV. LCOE, Baseline Energy Mix'!AA$13-1)</f>
        <v>0</v>
      </c>
      <c r="AB122" s="1301">
        <f xml:space="preserve"> AB112*'II. Inputs, Baseline Energy Mix'!$P$98*(1+'II. Inputs, Baseline Energy Mix'!$P$99)^('IV. LCOE, Baseline Energy Mix'!AB$13-1)</f>
        <v>0</v>
      </c>
      <c r="AC122" s="1301">
        <f xml:space="preserve"> AC112*'II. Inputs, Baseline Energy Mix'!$P$98*(1+'II. Inputs, Baseline Energy Mix'!$P$99)^('IV. LCOE, Baseline Energy Mix'!AC$13-1)</f>
        <v>0</v>
      </c>
      <c r="AD122" s="1301">
        <f xml:space="preserve"> AD112*'II. Inputs, Baseline Energy Mix'!$P$98*(1+'II. Inputs, Baseline Energy Mix'!$P$99)^('IV. LCOE, Baseline Energy Mix'!AD$13-1)</f>
        <v>0</v>
      </c>
      <c r="AE122" s="1301">
        <f xml:space="preserve"> AE112*'II. Inputs, Baseline Energy Mix'!$P$98*(1+'II. Inputs, Baseline Energy Mix'!$P$99)^('IV. LCOE, Baseline Energy Mix'!AE$13-1)</f>
        <v>0</v>
      </c>
      <c r="AF122" s="1301">
        <f xml:space="preserve"> AF112*'II. Inputs, Baseline Energy Mix'!$P$98*(1+'II. Inputs, Baseline Energy Mix'!$P$99)^('IV. LCOE, Baseline Energy Mix'!AF$13-1)</f>
        <v>0</v>
      </c>
      <c r="AG122" s="1301">
        <f xml:space="preserve"> AG112*'II. Inputs, Baseline Energy Mix'!$P$98*(1+'II. Inputs, Baseline Energy Mix'!$P$99)^('IV. LCOE, Baseline Energy Mix'!AG$13-1)</f>
        <v>0</v>
      </c>
      <c r="AH122" s="1301">
        <f xml:space="preserve"> AH112*'II. Inputs, Baseline Energy Mix'!$P$98*(1+'II. Inputs, Baseline Energy Mix'!$P$99)^('IV. LCOE, Baseline Energy Mix'!AH$13-1)</f>
        <v>0</v>
      </c>
      <c r="AI122" s="1301">
        <f xml:space="preserve"> AI112*'II. Inputs, Baseline Energy Mix'!$P$98*(1+'II. Inputs, Baseline Energy Mix'!$P$99)^('IV. LCOE, Baseline Energy Mix'!AI$13-1)</f>
        <v>0</v>
      </c>
      <c r="AJ122" s="1301">
        <f xml:space="preserve"> AJ112*'II. Inputs, Baseline Energy Mix'!$P$98*(1+'II. Inputs, Baseline Energy Mix'!$P$99)^('IV. LCOE, Baseline Energy Mix'!AJ$13-1)</f>
        <v>0</v>
      </c>
      <c r="AK122" s="1301">
        <f xml:space="preserve"> AK112*'II. Inputs, Baseline Energy Mix'!$P$98*(1+'II. Inputs, Baseline Energy Mix'!$P$99)^('IV. LCOE, Baseline Energy Mix'!AK$13-1)</f>
        <v>0</v>
      </c>
      <c r="AL122" s="1301">
        <f xml:space="preserve"> AL112*'II. Inputs, Baseline Energy Mix'!$P$98*(1+'II. Inputs, Baseline Energy Mix'!$P$99)^('IV. LCOE, Baseline Energy Mix'!AL$13-1)</f>
        <v>0</v>
      </c>
      <c r="AM122" s="1301">
        <f xml:space="preserve"> AM112*'II. Inputs, Baseline Energy Mix'!$P$98*(1+'II. Inputs, Baseline Energy Mix'!$P$99)^('IV. LCOE, Baseline Energy Mix'!AM$13-1)</f>
        <v>0</v>
      </c>
      <c r="AN122" s="1301">
        <f xml:space="preserve"> AN112*'II. Inputs, Baseline Energy Mix'!$P$98*(1+'II. Inputs, Baseline Energy Mix'!$P$99)^('IV. LCOE, Baseline Energy Mix'!AN$13-1)</f>
        <v>0</v>
      </c>
      <c r="AO122" s="1301">
        <f xml:space="preserve"> AO112*'II. Inputs, Baseline Energy Mix'!$P$98*(1+'II. Inputs, Baseline Energy Mix'!$P$99)^('IV. LCOE, Baseline Energy Mix'!AO$13-1)</f>
        <v>0</v>
      </c>
      <c r="AP122" s="1301">
        <f xml:space="preserve"> AP112*'II. Inputs, Baseline Energy Mix'!$P$98*(1+'II. Inputs, Baseline Energy Mix'!$P$99)^('IV. LCOE, Baseline Energy Mix'!AP$13-1)</f>
        <v>0</v>
      </c>
      <c r="AQ122" s="1301">
        <f xml:space="preserve"> AQ112*'II. Inputs, Baseline Energy Mix'!$P$98*(1+'II. Inputs, Baseline Energy Mix'!$P$99)^('IV. LCOE, Baseline Energy Mix'!AQ$13-1)</f>
        <v>0</v>
      </c>
      <c r="AR122" s="1301">
        <f xml:space="preserve"> AR112*'II. Inputs, Baseline Energy Mix'!$P$98*(1+'II. Inputs, Baseline Energy Mix'!$P$99)^('IV. LCOE, Baseline Energy Mix'!AR$13-1)</f>
        <v>0</v>
      </c>
      <c r="AS122" s="1301">
        <f xml:space="preserve"> AS112*'II. Inputs, Baseline Energy Mix'!$P$98*(1+'II. Inputs, Baseline Energy Mix'!$P$99)^('IV. LCOE, Baseline Energy Mix'!AS$13-1)</f>
        <v>0</v>
      </c>
      <c r="AT122" s="1301">
        <f xml:space="preserve"> AT112*'II. Inputs, Baseline Energy Mix'!$P$98*(1+'II. Inputs, Baseline Energy Mix'!$P$99)^('IV. LCOE, Baseline Energy Mix'!AT$13-1)</f>
        <v>0</v>
      </c>
      <c r="AU122" s="1301">
        <f xml:space="preserve"> AU112*'II. Inputs, Baseline Energy Mix'!$P$98*(1+'II. Inputs, Baseline Energy Mix'!$P$99)^('IV. LCOE, Baseline Energy Mix'!AU$13-1)</f>
        <v>0</v>
      </c>
      <c r="AV122" s="1301">
        <f xml:space="preserve"> AV112*'II. Inputs, Baseline Energy Mix'!$P$98*(1+'II. Inputs, Baseline Energy Mix'!$P$99)^('IV. LCOE, Baseline Energy Mix'!AV$13-1)</f>
        <v>0</v>
      </c>
      <c r="AW122" s="1301">
        <f xml:space="preserve"> AW112*'II. Inputs, Baseline Energy Mix'!$P$98*(1+'II. Inputs, Baseline Energy Mix'!$P$99)^('IV. LCOE, Baseline Energy Mix'!AW$13-1)</f>
        <v>0</v>
      </c>
      <c r="AX122" s="1301">
        <f xml:space="preserve"> AX112*'II. Inputs, Baseline Energy Mix'!$P$98*(1+'II. Inputs, Baseline Energy Mix'!$P$99)^('IV. LCOE, Baseline Energy Mix'!AX$13-1)</f>
        <v>0</v>
      </c>
      <c r="AY122" s="1301">
        <f xml:space="preserve"> AY112*'II. Inputs, Baseline Energy Mix'!$P$98*(1+'II. Inputs, Baseline Energy Mix'!$P$99)^('IV. LCOE, Baseline Energy Mix'!AY$13-1)</f>
        <v>0</v>
      </c>
      <c r="AZ122" s="1301">
        <f xml:space="preserve"> AZ112*'II. Inputs, Baseline Energy Mix'!$P$98*(1+'II. Inputs, Baseline Energy Mix'!$P$99)^('IV. LCOE, Baseline Energy Mix'!AZ$13-1)</f>
        <v>0</v>
      </c>
      <c r="BA122" s="1301">
        <f xml:space="preserve"> BA112*'II. Inputs, Baseline Energy Mix'!$P$98*(1+'II. Inputs, Baseline Energy Mix'!$P$99)^('IV. LCOE, Baseline Energy Mix'!BA$13-1)</f>
        <v>0</v>
      </c>
      <c r="BB122" s="1301">
        <f xml:space="preserve"> BB112*'II. Inputs, Baseline Energy Mix'!$P$98*(1+'II. Inputs, Baseline Energy Mix'!$P$99)^('IV. LCOE, Baseline Energy Mix'!BB$13-1)</f>
        <v>0</v>
      </c>
      <c r="BC122" s="1301">
        <f xml:space="preserve"> BC112*'II. Inputs, Baseline Energy Mix'!$P$98*(1+'II. Inputs, Baseline Energy Mix'!$P$99)^('IV. LCOE, Baseline Energy Mix'!BC$13-1)</f>
        <v>0</v>
      </c>
      <c r="BD122" s="1301">
        <f xml:space="preserve"> BD112*'II. Inputs, Baseline Energy Mix'!$P$98*(1+'II. Inputs, Baseline Energy Mix'!$P$99)^('IV. LCOE, Baseline Energy Mix'!BD$13-1)</f>
        <v>0</v>
      </c>
      <c r="BE122" s="1302">
        <f xml:space="preserve"> BE112*'II. Inputs, Baseline Energy Mix'!$P$98*(1+'II. Inputs, Baseline Energy Mix'!$P$99)^('IV. LCOE, Baseline Energy Mix'!BE$13-1)</f>
        <v>0</v>
      </c>
    </row>
    <row r="123" spans="2:57" outlineLevel="1" x14ac:dyDescent="0.25">
      <c r="B123" s="277"/>
      <c r="C123" s="278" t="s">
        <v>161</v>
      </c>
      <c r="D123" s="278"/>
      <c r="E123" s="281"/>
      <c r="F123" s="281"/>
      <c r="G123" s="278"/>
      <c r="H123" s="1301">
        <f>H112*VLOOKUP('IV. LCOE, Baseline Energy Mix'!H$13,'VII. Additional Data'!$C$17:$V$66,11, FALSE)</f>
        <v>0</v>
      </c>
      <c r="I123" s="1301">
        <f>I112*VLOOKUP('IV. LCOE, Baseline Energy Mix'!I$13,'VII. Additional Data'!$C$17:$V$66,11, FALSE)</f>
        <v>0</v>
      </c>
      <c r="J123" s="1301">
        <f>J112*VLOOKUP('IV. LCOE, Baseline Energy Mix'!J$13,'VII. Additional Data'!$C$17:$V$66,11, FALSE)</f>
        <v>0</v>
      </c>
      <c r="K123" s="1301">
        <f>K112*VLOOKUP('IV. LCOE, Baseline Energy Mix'!K$13,'VII. Additional Data'!$C$17:$V$66,11, FALSE)</f>
        <v>0</v>
      </c>
      <c r="L123" s="1301">
        <f>L112*VLOOKUP('IV. LCOE, Baseline Energy Mix'!L$13,'VII. Additional Data'!$C$17:$V$66,11, FALSE)</f>
        <v>0</v>
      </c>
      <c r="M123" s="1301">
        <f>M112*VLOOKUP('IV. LCOE, Baseline Energy Mix'!M$13,'VII. Additional Data'!$C$17:$V$66,11, FALSE)</f>
        <v>0</v>
      </c>
      <c r="N123" s="1301">
        <f>N112*VLOOKUP('IV. LCOE, Baseline Energy Mix'!N$13,'VII. Additional Data'!$C$17:$V$66,11, FALSE)</f>
        <v>0</v>
      </c>
      <c r="O123" s="1301">
        <f>O112*VLOOKUP('IV. LCOE, Baseline Energy Mix'!O$13,'VII. Additional Data'!$C$17:$V$66,11, FALSE)</f>
        <v>0</v>
      </c>
      <c r="P123" s="1301">
        <f>P112*VLOOKUP('IV. LCOE, Baseline Energy Mix'!P$13,'VII. Additional Data'!$C$17:$V$66,11, FALSE)</f>
        <v>0</v>
      </c>
      <c r="Q123" s="1301">
        <f>Q112*VLOOKUP('IV. LCOE, Baseline Energy Mix'!Q$13,'VII. Additional Data'!$C$17:$V$66,11, FALSE)</f>
        <v>0</v>
      </c>
      <c r="R123" s="1301">
        <f>R112*VLOOKUP('IV. LCOE, Baseline Energy Mix'!R$13,'VII. Additional Data'!$C$17:$V$66,11, FALSE)</f>
        <v>0</v>
      </c>
      <c r="S123" s="1301">
        <f>S112*VLOOKUP('IV. LCOE, Baseline Energy Mix'!S$13,'VII. Additional Data'!$C$17:$V$66,11, FALSE)</f>
        <v>0</v>
      </c>
      <c r="T123" s="1301">
        <f>T112*VLOOKUP('IV. LCOE, Baseline Energy Mix'!T$13,'VII. Additional Data'!$C$17:$V$66,11, FALSE)</f>
        <v>0</v>
      </c>
      <c r="U123" s="1301">
        <f>U112*VLOOKUP('IV. LCOE, Baseline Energy Mix'!U$13,'VII. Additional Data'!$C$17:$V$66,11, FALSE)</f>
        <v>0</v>
      </c>
      <c r="V123" s="1301">
        <f>V112*VLOOKUP('IV. LCOE, Baseline Energy Mix'!V$13,'VII. Additional Data'!$C$17:$V$66,11, FALSE)</f>
        <v>0</v>
      </c>
      <c r="W123" s="1301">
        <f>W112*VLOOKUP('IV. LCOE, Baseline Energy Mix'!W$13,'VII. Additional Data'!$C$17:$V$66,11, FALSE)</f>
        <v>0</v>
      </c>
      <c r="X123" s="1301">
        <f>X112*VLOOKUP('IV. LCOE, Baseline Energy Mix'!X$13,'VII. Additional Data'!$C$17:$V$66,11, FALSE)</f>
        <v>0</v>
      </c>
      <c r="Y123" s="1301">
        <f>Y112*VLOOKUP('IV. LCOE, Baseline Energy Mix'!Y$13,'VII. Additional Data'!$C$17:$V$66,11, FALSE)</f>
        <v>0</v>
      </c>
      <c r="Z123" s="1301">
        <f>Z112*VLOOKUP('IV. LCOE, Baseline Energy Mix'!Z$13,'VII. Additional Data'!$C$17:$V$66,11, FALSE)</f>
        <v>0</v>
      </c>
      <c r="AA123" s="1301">
        <f>AA112*VLOOKUP('IV. LCOE, Baseline Energy Mix'!AA$13,'VII. Additional Data'!$C$17:$V$66,11, FALSE)</f>
        <v>0</v>
      </c>
      <c r="AB123" s="1301">
        <f>AB112*VLOOKUP('IV. LCOE, Baseline Energy Mix'!AB$13,'VII. Additional Data'!$C$17:$V$66,11, FALSE)</f>
        <v>0</v>
      </c>
      <c r="AC123" s="1301">
        <f>AC112*VLOOKUP('IV. LCOE, Baseline Energy Mix'!AC$13,'VII. Additional Data'!$C$17:$V$66,11, FALSE)</f>
        <v>0</v>
      </c>
      <c r="AD123" s="1301">
        <f>AD112*VLOOKUP('IV. LCOE, Baseline Energy Mix'!AD$13,'VII. Additional Data'!$C$17:$V$66,11, FALSE)</f>
        <v>0</v>
      </c>
      <c r="AE123" s="1301">
        <f>AE112*VLOOKUP('IV. LCOE, Baseline Energy Mix'!AE$13,'VII. Additional Data'!$C$17:$V$66,11, FALSE)</f>
        <v>0</v>
      </c>
      <c r="AF123" s="1301">
        <f>AF112*VLOOKUP('IV. LCOE, Baseline Energy Mix'!AF$13,'VII. Additional Data'!$C$17:$V$66,11, FALSE)</f>
        <v>0</v>
      </c>
      <c r="AG123" s="1301">
        <f>AG112*VLOOKUP('IV. LCOE, Baseline Energy Mix'!AG$13,'VII. Additional Data'!$C$17:$V$66,11, FALSE)</f>
        <v>0</v>
      </c>
      <c r="AH123" s="1301">
        <f>AH112*VLOOKUP('IV. LCOE, Baseline Energy Mix'!AH$13,'VII. Additional Data'!$C$17:$V$66,11, FALSE)</f>
        <v>0</v>
      </c>
      <c r="AI123" s="1301">
        <f>AI112*VLOOKUP('IV. LCOE, Baseline Energy Mix'!AI$13,'VII. Additional Data'!$C$17:$V$66,11, FALSE)</f>
        <v>0</v>
      </c>
      <c r="AJ123" s="1301">
        <f>AJ112*VLOOKUP('IV. LCOE, Baseline Energy Mix'!AJ$13,'VII. Additional Data'!$C$17:$V$66,11, FALSE)</f>
        <v>0</v>
      </c>
      <c r="AK123" s="1301">
        <f>AK112*VLOOKUP('IV. LCOE, Baseline Energy Mix'!AK$13,'VII. Additional Data'!$C$17:$V$66,11, FALSE)</f>
        <v>0</v>
      </c>
      <c r="AL123" s="1301">
        <f>AL112*VLOOKUP('IV. LCOE, Baseline Energy Mix'!AL$13,'VII. Additional Data'!$C$17:$V$66,11, FALSE)</f>
        <v>0</v>
      </c>
      <c r="AM123" s="1301">
        <f>AM112*VLOOKUP('IV. LCOE, Baseline Energy Mix'!AM$13,'VII. Additional Data'!$C$17:$V$66,11, FALSE)</f>
        <v>0</v>
      </c>
      <c r="AN123" s="1301">
        <f>AN112*VLOOKUP('IV. LCOE, Baseline Energy Mix'!AN$13,'VII. Additional Data'!$C$17:$V$66,11, FALSE)</f>
        <v>0</v>
      </c>
      <c r="AO123" s="1301">
        <f>AO112*VLOOKUP('IV. LCOE, Baseline Energy Mix'!AO$13,'VII. Additional Data'!$C$17:$V$66,11, FALSE)</f>
        <v>0</v>
      </c>
      <c r="AP123" s="1301">
        <f>AP112*VLOOKUP('IV. LCOE, Baseline Energy Mix'!AP$13,'VII. Additional Data'!$C$17:$V$66,11, FALSE)</f>
        <v>0</v>
      </c>
      <c r="AQ123" s="1301">
        <f>AQ112*VLOOKUP('IV. LCOE, Baseline Energy Mix'!AQ$13,'VII. Additional Data'!$C$17:$V$66,11, FALSE)</f>
        <v>0</v>
      </c>
      <c r="AR123" s="1301">
        <f>AR112*VLOOKUP('IV. LCOE, Baseline Energy Mix'!AR$13,'VII. Additional Data'!$C$17:$V$66,11, FALSE)</f>
        <v>0</v>
      </c>
      <c r="AS123" s="1301">
        <f>AS112*VLOOKUP('IV. LCOE, Baseline Energy Mix'!AS$13,'VII. Additional Data'!$C$17:$V$66,11, FALSE)</f>
        <v>0</v>
      </c>
      <c r="AT123" s="1301">
        <f>AT112*VLOOKUP('IV. LCOE, Baseline Energy Mix'!AT$13,'VII. Additional Data'!$C$17:$V$66,11, FALSE)</f>
        <v>0</v>
      </c>
      <c r="AU123" s="1301">
        <f>AU112*VLOOKUP('IV. LCOE, Baseline Energy Mix'!AU$13,'VII. Additional Data'!$C$17:$V$66,11, FALSE)</f>
        <v>0</v>
      </c>
      <c r="AV123" s="1301">
        <f>AV112*VLOOKUP('IV. LCOE, Baseline Energy Mix'!AV$13,'VII. Additional Data'!$C$17:$V$66,11, FALSE)</f>
        <v>0</v>
      </c>
      <c r="AW123" s="1301">
        <f>AW112*VLOOKUP('IV. LCOE, Baseline Energy Mix'!AW$13,'VII. Additional Data'!$C$17:$V$66,11, FALSE)</f>
        <v>0</v>
      </c>
      <c r="AX123" s="1301">
        <f>AX112*VLOOKUP('IV. LCOE, Baseline Energy Mix'!AX$13,'VII. Additional Data'!$C$17:$V$66,11, FALSE)</f>
        <v>0</v>
      </c>
      <c r="AY123" s="1301">
        <f>AY112*VLOOKUP('IV. LCOE, Baseline Energy Mix'!AY$13,'VII. Additional Data'!$C$17:$V$66,11, FALSE)</f>
        <v>0</v>
      </c>
      <c r="AZ123" s="1301">
        <f>AZ112*VLOOKUP('IV. LCOE, Baseline Energy Mix'!AZ$13,'VII. Additional Data'!$C$17:$V$66,11, FALSE)</f>
        <v>0</v>
      </c>
      <c r="BA123" s="1301">
        <f>BA112*VLOOKUP('IV. LCOE, Baseline Energy Mix'!BA$13,'VII. Additional Data'!$C$17:$V$66,11, FALSE)</f>
        <v>0</v>
      </c>
      <c r="BB123" s="1301">
        <f>BB112*VLOOKUP('IV. LCOE, Baseline Energy Mix'!BB$13,'VII. Additional Data'!$C$17:$V$66,11, FALSE)</f>
        <v>0</v>
      </c>
      <c r="BC123" s="1301">
        <f>BC112*VLOOKUP('IV. LCOE, Baseline Energy Mix'!BC$13,'VII. Additional Data'!$C$17:$V$66,11, FALSE)</f>
        <v>0</v>
      </c>
      <c r="BD123" s="1301">
        <f>BD112*VLOOKUP('IV. LCOE, Baseline Energy Mix'!BD$13,'VII. Additional Data'!$C$17:$V$66,11, FALSE)</f>
        <v>0</v>
      </c>
      <c r="BE123" s="1302">
        <f>BE112*VLOOKUP('IV. LCOE, Baseline Energy Mix'!BE$13,'VII. Additional Data'!$C$17:$V$66,11, FALSE)</f>
        <v>0</v>
      </c>
    </row>
    <row r="124" spans="2:57" outlineLevel="1" x14ac:dyDescent="0.25">
      <c r="B124" s="277"/>
      <c r="C124" s="278" t="s">
        <v>162</v>
      </c>
      <c r="D124" s="278"/>
      <c r="E124" s="281"/>
      <c r="F124" s="281"/>
      <c r="G124" s="278"/>
      <c r="H124" s="1301">
        <f xml:space="preserve"> H112*VLOOKUP('IV. LCOE, Baseline Energy Mix'!H$13,'VII. Additional Data'!$C$17:$V$66,17, FALSE)</f>
        <v>0</v>
      </c>
      <c r="I124" s="1301">
        <f xml:space="preserve"> I112*VLOOKUP('IV. LCOE, Baseline Energy Mix'!I$13,'VII. Additional Data'!$C$17:$V$66,17, FALSE)</f>
        <v>0</v>
      </c>
      <c r="J124" s="1301">
        <f xml:space="preserve"> J112*VLOOKUP('IV. LCOE, Baseline Energy Mix'!J$13,'VII. Additional Data'!$C$17:$V$66,17, FALSE)</f>
        <v>0</v>
      </c>
      <c r="K124" s="1301">
        <f xml:space="preserve"> K112*VLOOKUP('IV. LCOE, Baseline Energy Mix'!K$13,'VII. Additional Data'!$C$17:$V$66,17, FALSE)</f>
        <v>0</v>
      </c>
      <c r="L124" s="1301">
        <f xml:space="preserve"> L112*VLOOKUP('IV. LCOE, Baseline Energy Mix'!L$13,'VII. Additional Data'!$C$17:$V$66,17, FALSE)</f>
        <v>0</v>
      </c>
      <c r="M124" s="1301">
        <f xml:space="preserve"> M112*VLOOKUP('IV. LCOE, Baseline Energy Mix'!M$13,'VII. Additional Data'!$C$17:$V$66,17, FALSE)</f>
        <v>0</v>
      </c>
      <c r="N124" s="1301">
        <f xml:space="preserve"> N112*VLOOKUP('IV. LCOE, Baseline Energy Mix'!N$13,'VII. Additional Data'!$C$17:$V$66,17, FALSE)</f>
        <v>0</v>
      </c>
      <c r="O124" s="1301">
        <f xml:space="preserve"> O112*VLOOKUP('IV. LCOE, Baseline Energy Mix'!O$13,'VII. Additional Data'!$C$17:$V$66,17, FALSE)</f>
        <v>0</v>
      </c>
      <c r="P124" s="1301">
        <f xml:space="preserve"> P112*VLOOKUP('IV. LCOE, Baseline Energy Mix'!P$13,'VII. Additional Data'!$C$17:$V$66,17, FALSE)</f>
        <v>0</v>
      </c>
      <c r="Q124" s="1301">
        <f xml:space="preserve"> Q112*VLOOKUP('IV. LCOE, Baseline Energy Mix'!Q$13,'VII. Additional Data'!$C$17:$V$66,17, FALSE)</f>
        <v>0</v>
      </c>
      <c r="R124" s="1301">
        <f xml:space="preserve"> R112*VLOOKUP('IV. LCOE, Baseline Energy Mix'!R$13,'VII. Additional Data'!$C$17:$V$66,17, FALSE)</f>
        <v>0</v>
      </c>
      <c r="S124" s="1301">
        <f xml:space="preserve"> S112*VLOOKUP('IV. LCOE, Baseline Energy Mix'!S$13,'VII. Additional Data'!$C$17:$V$66,17, FALSE)</f>
        <v>0</v>
      </c>
      <c r="T124" s="1301">
        <f xml:space="preserve"> T112*VLOOKUP('IV. LCOE, Baseline Energy Mix'!T$13,'VII. Additional Data'!$C$17:$V$66,17, FALSE)</f>
        <v>0</v>
      </c>
      <c r="U124" s="1301">
        <f xml:space="preserve"> U112*VLOOKUP('IV. LCOE, Baseline Energy Mix'!U$13,'VII. Additional Data'!$C$17:$V$66,17, FALSE)</f>
        <v>0</v>
      </c>
      <c r="V124" s="1301">
        <f xml:space="preserve"> V112*VLOOKUP('IV. LCOE, Baseline Energy Mix'!V$13,'VII. Additional Data'!$C$17:$V$66,17, FALSE)</f>
        <v>0</v>
      </c>
      <c r="W124" s="1301">
        <f xml:space="preserve"> W112*VLOOKUP('IV. LCOE, Baseline Energy Mix'!W$13,'VII. Additional Data'!$C$17:$V$66,17, FALSE)</f>
        <v>0</v>
      </c>
      <c r="X124" s="1301">
        <f xml:space="preserve"> X112*VLOOKUP('IV. LCOE, Baseline Energy Mix'!X$13,'VII. Additional Data'!$C$17:$V$66,17, FALSE)</f>
        <v>0</v>
      </c>
      <c r="Y124" s="1301">
        <f xml:space="preserve"> Y112*VLOOKUP('IV. LCOE, Baseline Energy Mix'!Y$13,'VII. Additional Data'!$C$17:$V$66,17, FALSE)</f>
        <v>0</v>
      </c>
      <c r="Z124" s="1301">
        <f xml:space="preserve"> Z112*VLOOKUP('IV. LCOE, Baseline Energy Mix'!Z$13,'VII. Additional Data'!$C$17:$V$66,17, FALSE)</f>
        <v>0</v>
      </c>
      <c r="AA124" s="1301">
        <f xml:space="preserve"> AA112*VLOOKUP('IV. LCOE, Baseline Energy Mix'!AA$13,'VII. Additional Data'!$C$17:$V$66,17, FALSE)</f>
        <v>0</v>
      </c>
      <c r="AB124" s="1301">
        <f xml:space="preserve"> AB112*VLOOKUP('IV. LCOE, Baseline Energy Mix'!AB$13,'VII. Additional Data'!$C$17:$V$66,17, FALSE)</f>
        <v>0</v>
      </c>
      <c r="AC124" s="1301">
        <f xml:space="preserve"> AC112*VLOOKUP('IV. LCOE, Baseline Energy Mix'!AC$13,'VII. Additional Data'!$C$17:$V$66,17, FALSE)</f>
        <v>0</v>
      </c>
      <c r="AD124" s="1301">
        <f xml:space="preserve"> AD112*VLOOKUP('IV. LCOE, Baseline Energy Mix'!AD$13,'VII. Additional Data'!$C$17:$V$66,17, FALSE)</f>
        <v>0</v>
      </c>
      <c r="AE124" s="1301">
        <f xml:space="preserve"> AE112*VLOOKUP('IV. LCOE, Baseline Energy Mix'!AE$13,'VII. Additional Data'!$C$17:$V$66,17, FALSE)</f>
        <v>0</v>
      </c>
      <c r="AF124" s="1301">
        <f xml:space="preserve"> AF112*VLOOKUP('IV. LCOE, Baseline Energy Mix'!AF$13,'VII. Additional Data'!$C$17:$V$66,17, FALSE)</f>
        <v>0</v>
      </c>
      <c r="AG124" s="1301">
        <f xml:space="preserve"> AG112*VLOOKUP('IV. LCOE, Baseline Energy Mix'!AG$13,'VII. Additional Data'!$C$17:$V$66,17, FALSE)</f>
        <v>0</v>
      </c>
      <c r="AH124" s="1301">
        <f xml:space="preserve"> AH112*VLOOKUP('IV. LCOE, Baseline Energy Mix'!AH$13,'VII. Additional Data'!$C$17:$V$66,17, FALSE)</f>
        <v>0</v>
      </c>
      <c r="AI124" s="1301">
        <f xml:space="preserve"> AI112*VLOOKUP('IV. LCOE, Baseline Energy Mix'!AI$13,'VII. Additional Data'!$C$17:$V$66,17, FALSE)</f>
        <v>0</v>
      </c>
      <c r="AJ124" s="1301">
        <f xml:space="preserve"> AJ112*VLOOKUP('IV. LCOE, Baseline Energy Mix'!AJ$13,'VII. Additional Data'!$C$17:$V$66,17, FALSE)</f>
        <v>0</v>
      </c>
      <c r="AK124" s="1301">
        <f xml:space="preserve"> AK112*VLOOKUP('IV. LCOE, Baseline Energy Mix'!AK$13,'VII. Additional Data'!$C$17:$V$66,17, FALSE)</f>
        <v>0</v>
      </c>
      <c r="AL124" s="1301">
        <f xml:space="preserve"> AL112*VLOOKUP('IV. LCOE, Baseline Energy Mix'!AL$13,'VII. Additional Data'!$C$17:$V$66,17, FALSE)</f>
        <v>0</v>
      </c>
      <c r="AM124" s="1301">
        <f xml:space="preserve"> AM112*VLOOKUP('IV. LCOE, Baseline Energy Mix'!AM$13,'VII. Additional Data'!$C$17:$V$66,17, FALSE)</f>
        <v>0</v>
      </c>
      <c r="AN124" s="1301">
        <f xml:space="preserve"> AN112*VLOOKUP('IV. LCOE, Baseline Energy Mix'!AN$13,'VII. Additional Data'!$C$17:$V$66,17, FALSE)</f>
        <v>0</v>
      </c>
      <c r="AO124" s="1301">
        <f xml:space="preserve"> AO112*VLOOKUP('IV. LCOE, Baseline Energy Mix'!AO$13,'VII. Additional Data'!$C$17:$V$66,17, FALSE)</f>
        <v>0</v>
      </c>
      <c r="AP124" s="1301">
        <f xml:space="preserve"> AP112*VLOOKUP('IV. LCOE, Baseline Energy Mix'!AP$13,'VII. Additional Data'!$C$17:$V$66,17, FALSE)</f>
        <v>0</v>
      </c>
      <c r="AQ124" s="1301">
        <f xml:space="preserve"> AQ112*VLOOKUP('IV. LCOE, Baseline Energy Mix'!AQ$13,'VII. Additional Data'!$C$17:$V$66,17, FALSE)</f>
        <v>0</v>
      </c>
      <c r="AR124" s="1301">
        <f xml:space="preserve"> AR112*VLOOKUP('IV. LCOE, Baseline Energy Mix'!AR$13,'VII. Additional Data'!$C$17:$V$66,17, FALSE)</f>
        <v>0</v>
      </c>
      <c r="AS124" s="1301">
        <f xml:space="preserve"> AS112*VLOOKUP('IV. LCOE, Baseline Energy Mix'!AS$13,'VII. Additional Data'!$C$17:$V$66,17, FALSE)</f>
        <v>0</v>
      </c>
      <c r="AT124" s="1301">
        <f xml:space="preserve"> AT112*VLOOKUP('IV. LCOE, Baseline Energy Mix'!AT$13,'VII. Additional Data'!$C$17:$V$66,17, FALSE)</f>
        <v>0</v>
      </c>
      <c r="AU124" s="1301">
        <f xml:space="preserve"> AU112*VLOOKUP('IV. LCOE, Baseline Energy Mix'!AU$13,'VII. Additional Data'!$C$17:$V$66,17, FALSE)</f>
        <v>0</v>
      </c>
      <c r="AV124" s="1301">
        <f xml:space="preserve"> AV112*VLOOKUP('IV. LCOE, Baseline Energy Mix'!AV$13,'VII. Additional Data'!$C$17:$V$66,17, FALSE)</f>
        <v>0</v>
      </c>
      <c r="AW124" s="1301">
        <f xml:space="preserve"> AW112*VLOOKUP('IV. LCOE, Baseline Energy Mix'!AW$13,'VII. Additional Data'!$C$17:$V$66,17, FALSE)</f>
        <v>0</v>
      </c>
      <c r="AX124" s="1301">
        <f xml:space="preserve"> AX112*VLOOKUP('IV. LCOE, Baseline Energy Mix'!AX$13,'VII. Additional Data'!$C$17:$V$66,17, FALSE)</f>
        <v>0</v>
      </c>
      <c r="AY124" s="1301">
        <f xml:space="preserve"> AY112*VLOOKUP('IV. LCOE, Baseline Energy Mix'!AY$13,'VII. Additional Data'!$C$17:$V$66,17, FALSE)</f>
        <v>0</v>
      </c>
      <c r="AZ124" s="1301">
        <f xml:space="preserve"> AZ112*VLOOKUP('IV. LCOE, Baseline Energy Mix'!AZ$13,'VII. Additional Data'!$C$17:$V$66,17, FALSE)</f>
        <v>0</v>
      </c>
      <c r="BA124" s="1301">
        <f xml:space="preserve"> BA112*VLOOKUP('IV. LCOE, Baseline Energy Mix'!BA$13,'VII. Additional Data'!$C$17:$V$66,17, FALSE)</f>
        <v>0</v>
      </c>
      <c r="BB124" s="1301">
        <f xml:space="preserve"> BB112*VLOOKUP('IV. LCOE, Baseline Energy Mix'!BB$13,'VII. Additional Data'!$C$17:$V$66,17, FALSE)</f>
        <v>0</v>
      </c>
      <c r="BC124" s="1301">
        <f xml:space="preserve"> BC112*VLOOKUP('IV. LCOE, Baseline Energy Mix'!BC$13,'VII. Additional Data'!$C$17:$V$66,17, FALSE)</f>
        <v>0</v>
      </c>
      <c r="BD124" s="1301">
        <f xml:space="preserve"> BD112*VLOOKUP('IV. LCOE, Baseline Energy Mix'!BD$13,'VII. Additional Data'!$C$17:$V$66,17, FALSE)</f>
        <v>0</v>
      </c>
      <c r="BE124" s="1302">
        <f xml:space="preserve"> BE112*VLOOKUP('IV. LCOE, Baseline Energy Mix'!BE$13,'VII. Additional Data'!$C$17:$V$66,17, FALSE)</f>
        <v>0</v>
      </c>
    </row>
    <row r="125" spans="2:57" outlineLevel="1" x14ac:dyDescent="0.25">
      <c r="B125" s="277"/>
      <c r="C125" s="278"/>
      <c r="D125" s="278"/>
      <c r="E125" s="281"/>
      <c r="F125" s="281"/>
      <c r="G125" s="278"/>
      <c r="H125" s="1180"/>
      <c r="I125" s="1180"/>
      <c r="J125" s="1180"/>
      <c r="K125" s="1180"/>
      <c r="L125" s="1180"/>
      <c r="M125" s="1180"/>
      <c r="N125" s="1180"/>
      <c r="O125" s="1180"/>
      <c r="P125" s="1180"/>
      <c r="Q125" s="1180"/>
      <c r="R125" s="1180"/>
      <c r="S125" s="1180"/>
      <c r="T125" s="1180"/>
      <c r="U125" s="1180"/>
      <c r="V125" s="1180"/>
      <c r="W125" s="1180"/>
      <c r="X125" s="1180"/>
      <c r="Y125" s="1180"/>
      <c r="Z125" s="1180"/>
      <c r="AA125" s="1180"/>
      <c r="AB125" s="1180"/>
      <c r="AC125" s="1180"/>
      <c r="AD125" s="1180"/>
      <c r="AE125" s="1180"/>
      <c r="AF125" s="1180"/>
      <c r="AG125" s="1180"/>
      <c r="AH125" s="1180"/>
      <c r="AI125" s="1180"/>
      <c r="AJ125" s="1180"/>
      <c r="AK125" s="1180"/>
      <c r="AL125" s="1180"/>
      <c r="AM125" s="1180"/>
      <c r="AN125" s="1180"/>
      <c r="AO125" s="1180"/>
      <c r="AP125" s="1180"/>
      <c r="AQ125" s="1180"/>
      <c r="AR125" s="1180"/>
      <c r="AS125" s="1180"/>
      <c r="AT125" s="1180"/>
      <c r="AU125" s="1180"/>
      <c r="AV125" s="1180"/>
      <c r="AW125" s="1180"/>
      <c r="AX125" s="1180"/>
      <c r="AY125" s="1180"/>
      <c r="AZ125" s="1180"/>
      <c r="BA125" s="1180"/>
      <c r="BB125" s="1180"/>
      <c r="BC125" s="1180"/>
      <c r="BD125" s="1180"/>
      <c r="BE125" s="1181"/>
    </row>
    <row r="126" spans="2:57" x14ac:dyDescent="0.25">
      <c r="B126" s="277" t="s">
        <v>138</v>
      </c>
      <c r="C126" s="278"/>
      <c r="D126" s="278"/>
      <c r="E126" s="281"/>
      <c r="F126" s="281" t="s">
        <v>22</v>
      </c>
      <c r="G126" s="278"/>
      <c r="H126" s="1180">
        <f>H120*H114*H112/'II. Inputs, Baseline Energy Mix'!$P$91</f>
        <v>0</v>
      </c>
      <c r="I126" s="1180">
        <f>I120*I114*I112/'II. Inputs, Baseline Energy Mix'!$P$91</f>
        <v>0</v>
      </c>
      <c r="J126" s="1180">
        <f>J120*J114*J112/'II. Inputs, Baseline Energy Mix'!$P$91</f>
        <v>0</v>
      </c>
      <c r="K126" s="1180">
        <f>K120*K114*K112/'II. Inputs, Baseline Energy Mix'!$P$91</f>
        <v>0</v>
      </c>
      <c r="L126" s="1180">
        <f>L120*L114*L112/'II. Inputs, Baseline Energy Mix'!$P$91</f>
        <v>0</v>
      </c>
      <c r="M126" s="1180">
        <f>M120*M114*M112/'II. Inputs, Baseline Energy Mix'!$P$91</f>
        <v>0</v>
      </c>
      <c r="N126" s="1180">
        <f>N120*N114*N112/'II. Inputs, Baseline Energy Mix'!$P$91</f>
        <v>0</v>
      </c>
      <c r="O126" s="1180">
        <f>O120*O114*O112/'II. Inputs, Baseline Energy Mix'!$P$91</f>
        <v>0</v>
      </c>
      <c r="P126" s="1180">
        <f>P120*P114*P112/'II. Inputs, Baseline Energy Mix'!$P$91</f>
        <v>0</v>
      </c>
      <c r="Q126" s="1180">
        <f>Q120*Q114*Q112/'II. Inputs, Baseline Energy Mix'!$P$91</f>
        <v>0</v>
      </c>
      <c r="R126" s="1180">
        <f>R120*R114*R112/'II. Inputs, Baseline Energy Mix'!$P$91</f>
        <v>0</v>
      </c>
      <c r="S126" s="1180">
        <f>S120*S114*S112/'II. Inputs, Baseline Energy Mix'!$P$91</f>
        <v>0</v>
      </c>
      <c r="T126" s="1180">
        <f>T120*T114*T112/'II. Inputs, Baseline Energy Mix'!$P$91</f>
        <v>0</v>
      </c>
      <c r="U126" s="1180">
        <f>U120*U114*U112/'II. Inputs, Baseline Energy Mix'!$P$91</f>
        <v>0</v>
      </c>
      <c r="V126" s="1180">
        <f>V120*V114*V112/'II. Inputs, Baseline Energy Mix'!$P$91</f>
        <v>0</v>
      </c>
      <c r="W126" s="1180">
        <f>W120*W114*W112/'II. Inputs, Baseline Energy Mix'!$P$91</f>
        <v>0</v>
      </c>
      <c r="X126" s="1180">
        <f>X120*X114*X112/'II. Inputs, Baseline Energy Mix'!$P$91</f>
        <v>0</v>
      </c>
      <c r="Y126" s="1180">
        <f>Y120*Y114*Y112/'II. Inputs, Baseline Energy Mix'!$P$91</f>
        <v>0</v>
      </c>
      <c r="Z126" s="1180">
        <f>Z120*Z114*Z112/'II. Inputs, Baseline Energy Mix'!$P$91</f>
        <v>0</v>
      </c>
      <c r="AA126" s="1180">
        <f>AA120*AA114*AA112/'II. Inputs, Baseline Energy Mix'!$P$91</f>
        <v>0</v>
      </c>
      <c r="AB126" s="1180">
        <f>AB120*AB114*AB112/'II. Inputs, Baseline Energy Mix'!$P$91</f>
        <v>0</v>
      </c>
      <c r="AC126" s="1180">
        <f>AC120*AC114*AC112/'II. Inputs, Baseline Energy Mix'!$P$91</f>
        <v>0</v>
      </c>
      <c r="AD126" s="1180">
        <f>AD120*AD114*AD112/'II. Inputs, Baseline Energy Mix'!$P$91</f>
        <v>0</v>
      </c>
      <c r="AE126" s="1180">
        <f>AE120*AE114*AE112/'II. Inputs, Baseline Energy Mix'!$P$91</f>
        <v>0</v>
      </c>
      <c r="AF126" s="1180">
        <f>AF120*AF114*AF112/'II. Inputs, Baseline Energy Mix'!$P$91</f>
        <v>0</v>
      </c>
      <c r="AG126" s="1180">
        <f>AG120*AG114*AG112/'II. Inputs, Baseline Energy Mix'!$P$91</f>
        <v>0</v>
      </c>
      <c r="AH126" s="1180">
        <f>AH120*AH114*AH112/'II. Inputs, Baseline Energy Mix'!$P$91</f>
        <v>0</v>
      </c>
      <c r="AI126" s="1180">
        <f>AI120*AI114*AI112/'II. Inputs, Baseline Energy Mix'!$P$91</f>
        <v>0</v>
      </c>
      <c r="AJ126" s="1180">
        <f>AJ120*AJ114*AJ112/'II. Inputs, Baseline Energy Mix'!$P$91</f>
        <v>0</v>
      </c>
      <c r="AK126" s="1180">
        <f>AK120*AK114*AK112/'II. Inputs, Baseline Energy Mix'!$P$91</f>
        <v>0</v>
      </c>
      <c r="AL126" s="1180">
        <f>AL120*AL114*AL112/'II. Inputs, Baseline Energy Mix'!$P$91</f>
        <v>0</v>
      </c>
      <c r="AM126" s="1180">
        <f>AM120*AM114*AM112/'II. Inputs, Baseline Energy Mix'!$P$91</f>
        <v>0</v>
      </c>
      <c r="AN126" s="1180">
        <f>AN120*AN114*AN112/'II. Inputs, Baseline Energy Mix'!$P$91</f>
        <v>0</v>
      </c>
      <c r="AO126" s="1180">
        <f>AO120*AO114*AO112/'II. Inputs, Baseline Energy Mix'!$P$91</f>
        <v>0</v>
      </c>
      <c r="AP126" s="1180">
        <f>AP120*AP114*AP112/'II. Inputs, Baseline Energy Mix'!$P$91</f>
        <v>0</v>
      </c>
      <c r="AQ126" s="1180">
        <f>AQ120*AQ114*AQ112/'II. Inputs, Baseline Energy Mix'!$P$91</f>
        <v>0</v>
      </c>
      <c r="AR126" s="1180">
        <f>AR120*AR114*AR112/'II. Inputs, Baseline Energy Mix'!$P$91</f>
        <v>0</v>
      </c>
      <c r="AS126" s="1180">
        <f>AS120*AS114*AS112/'II. Inputs, Baseline Energy Mix'!$P$91</f>
        <v>0</v>
      </c>
      <c r="AT126" s="1180">
        <f>AT120*AT114*AT112/'II. Inputs, Baseline Energy Mix'!$P$91</f>
        <v>0</v>
      </c>
      <c r="AU126" s="1180">
        <f>AU120*AU114*AU112/'II. Inputs, Baseline Energy Mix'!$P$91</f>
        <v>0</v>
      </c>
      <c r="AV126" s="1180">
        <f>AV120*AV114*AV112/'II. Inputs, Baseline Energy Mix'!$P$91</f>
        <v>0</v>
      </c>
      <c r="AW126" s="1180">
        <f>AW120*AW114*AW112/'II. Inputs, Baseline Energy Mix'!$P$91</f>
        <v>0</v>
      </c>
      <c r="AX126" s="1180">
        <f>AX120*AX114*AX112/'II. Inputs, Baseline Energy Mix'!$P$91</f>
        <v>0</v>
      </c>
      <c r="AY126" s="1180">
        <f>AY120*AY114*AY112/'II. Inputs, Baseline Energy Mix'!$P$91</f>
        <v>0</v>
      </c>
      <c r="AZ126" s="1180">
        <f>AZ120*AZ114*AZ112/'II. Inputs, Baseline Energy Mix'!$P$91</f>
        <v>0</v>
      </c>
      <c r="BA126" s="1180">
        <f>BA120*BA114*BA112/'II. Inputs, Baseline Energy Mix'!$P$91</f>
        <v>0</v>
      </c>
      <c r="BB126" s="1180">
        <f>BB120*BB114*BB112/'II. Inputs, Baseline Energy Mix'!$P$91</f>
        <v>0</v>
      </c>
      <c r="BC126" s="1180">
        <f>BC120*BC114*BC112/'II. Inputs, Baseline Energy Mix'!$P$91</f>
        <v>0</v>
      </c>
      <c r="BD126" s="1180">
        <f>BD120*BD114*BD112/'II. Inputs, Baseline Energy Mix'!$P$91</f>
        <v>0</v>
      </c>
      <c r="BE126" s="1181">
        <f>BE120*BE114*BE112/'II. Inputs, Baseline Energy Mix'!$P$91</f>
        <v>0</v>
      </c>
    </row>
    <row r="127" spans="2:57" x14ac:dyDescent="0.25">
      <c r="B127" s="277"/>
      <c r="C127" s="278"/>
      <c r="D127" s="278"/>
      <c r="E127" s="281"/>
      <c r="F127" s="281"/>
      <c r="G127" s="278"/>
      <c r="H127" s="1180"/>
      <c r="I127" s="1182"/>
      <c r="J127" s="1182"/>
      <c r="K127" s="1182"/>
      <c r="L127" s="1182"/>
      <c r="M127" s="1182"/>
      <c r="N127" s="1182"/>
      <c r="O127" s="1182"/>
      <c r="P127" s="1182"/>
      <c r="Q127" s="1182"/>
      <c r="R127" s="1182"/>
      <c r="S127" s="1182"/>
      <c r="T127" s="1182"/>
      <c r="U127" s="1182"/>
      <c r="V127" s="1182"/>
      <c r="W127" s="1182"/>
      <c r="X127" s="1182"/>
      <c r="Y127" s="1182"/>
      <c r="Z127" s="1182"/>
      <c r="AA127" s="1182"/>
      <c r="AB127" s="1182"/>
      <c r="AC127" s="1182"/>
      <c r="AD127" s="1182"/>
      <c r="AE127" s="1182"/>
      <c r="AF127" s="1182"/>
      <c r="AG127" s="1182"/>
      <c r="AH127" s="1182"/>
      <c r="AI127" s="1182"/>
      <c r="AJ127" s="1182"/>
      <c r="AK127" s="1182"/>
      <c r="AL127" s="1182"/>
      <c r="AM127" s="1182"/>
      <c r="AN127" s="1182"/>
      <c r="AO127" s="1182"/>
      <c r="AP127" s="1182"/>
      <c r="AQ127" s="1182"/>
      <c r="AR127" s="1182"/>
      <c r="AS127" s="1182"/>
      <c r="AT127" s="1182"/>
      <c r="AU127" s="1182"/>
      <c r="AV127" s="1182"/>
      <c r="AW127" s="1182"/>
      <c r="AX127" s="1182"/>
      <c r="AY127" s="1182"/>
      <c r="AZ127" s="1182"/>
      <c r="BA127" s="1182"/>
      <c r="BB127" s="1182"/>
      <c r="BC127" s="1182"/>
      <c r="BD127" s="1182"/>
      <c r="BE127" s="1183"/>
    </row>
    <row r="128" spans="2:57" x14ac:dyDescent="0.25">
      <c r="B128" s="277" t="s">
        <v>101</v>
      </c>
      <c r="C128" s="278"/>
      <c r="D128" s="278"/>
      <c r="E128" s="281"/>
      <c r="F128" s="281" t="s">
        <v>22</v>
      </c>
      <c r="G128" s="288"/>
      <c r="H128" s="288">
        <f>H804</f>
        <v>0</v>
      </c>
      <c r="I128" s="288">
        <f t="shared" ref="I128:BE128" si="42">I804</f>
        <v>0</v>
      </c>
      <c r="J128" s="288">
        <f t="shared" si="42"/>
        <v>0</v>
      </c>
      <c r="K128" s="288">
        <f t="shared" si="42"/>
        <v>0</v>
      </c>
      <c r="L128" s="288">
        <f t="shared" si="42"/>
        <v>0</v>
      </c>
      <c r="M128" s="288">
        <f t="shared" si="42"/>
        <v>0</v>
      </c>
      <c r="N128" s="288">
        <f t="shared" si="42"/>
        <v>0</v>
      </c>
      <c r="O128" s="288">
        <f t="shared" si="42"/>
        <v>0</v>
      </c>
      <c r="P128" s="288">
        <f t="shared" si="42"/>
        <v>0</v>
      </c>
      <c r="Q128" s="288">
        <f t="shared" si="42"/>
        <v>0</v>
      </c>
      <c r="R128" s="288">
        <f t="shared" si="42"/>
        <v>0</v>
      </c>
      <c r="S128" s="288">
        <f t="shared" si="42"/>
        <v>0</v>
      </c>
      <c r="T128" s="288">
        <f t="shared" si="42"/>
        <v>0</v>
      </c>
      <c r="U128" s="288">
        <f t="shared" si="42"/>
        <v>0</v>
      </c>
      <c r="V128" s="288">
        <f t="shared" si="42"/>
        <v>0</v>
      </c>
      <c r="W128" s="288">
        <f t="shared" si="42"/>
        <v>0</v>
      </c>
      <c r="X128" s="288">
        <f t="shared" si="42"/>
        <v>0</v>
      </c>
      <c r="Y128" s="288">
        <f t="shared" si="42"/>
        <v>0</v>
      </c>
      <c r="Z128" s="288">
        <f t="shared" si="42"/>
        <v>0</v>
      </c>
      <c r="AA128" s="288">
        <f t="shared" si="42"/>
        <v>0</v>
      </c>
      <c r="AB128" s="288">
        <f t="shared" si="42"/>
        <v>0</v>
      </c>
      <c r="AC128" s="288">
        <f t="shared" si="42"/>
        <v>0</v>
      </c>
      <c r="AD128" s="288">
        <f t="shared" si="42"/>
        <v>0</v>
      </c>
      <c r="AE128" s="288">
        <f t="shared" si="42"/>
        <v>0</v>
      </c>
      <c r="AF128" s="288">
        <f t="shared" si="42"/>
        <v>0</v>
      </c>
      <c r="AG128" s="288">
        <f t="shared" si="42"/>
        <v>0</v>
      </c>
      <c r="AH128" s="288">
        <f t="shared" si="42"/>
        <v>0</v>
      </c>
      <c r="AI128" s="288">
        <f t="shared" si="42"/>
        <v>0</v>
      </c>
      <c r="AJ128" s="288">
        <f t="shared" si="42"/>
        <v>0</v>
      </c>
      <c r="AK128" s="288">
        <f t="shared" si="42"/>
        <v>0</v>
      </c>
      <c r="AL128" s="288">
        <f t="shared" si="42"/>
        <v>0</v>
      </c>
      <c r="AM128" s="288">
        <f t="shared" si="42"/>
        <v>0</v>
      </c>
      <c r="AN128" s="288">
        <f t="shared" si="42"/>
        <v>0</v>
      </c>
      <c r="AO128" s="288">
        <f t="shared" si="42"/>
        <v>0</v>
      </c>
      <c r="AP128" s="288">
        <f t="shared" si="42"/>
        <v>0</v>
      </c>
      <c r="AQ128" s="288">
        <f t="shared" si="42"/>
        <v>0</v>
      </c>
      <c r="AR128" s="288">
        <f t="shared" si="42"/>
        <v>0</v>
      </c>
      <c r="AS128" s="288">
        <f t="shared" si="42"/>
        <v>0</v>
      </c>
      <c r="AT128" s="288">
        <f t="shared" si="42"/>
        <v>0</v>
      </c>
      <c r="AU128" s="288">
        <f t="shared" si="42"/>
        <v>0</v>
      </c>
      <c r="AV128" s="288">
        <f t="shared" si="42"/>
        <v>0</v>
      </c>
      <c r="AW128" s="288">
        <f t="shared" si="42"/>
        <v>0</v>
      </c>
      <c r="AX128" s="288">
        <f t="shared" si="42"/>
        <v>0</v>
      </c>
      <c r="AY128" s="288">
        <f t="shared" si="42"/>
        <v>0</v>
      </c>
      <c r="AZ128" s="288">
        <f t="shared" si="42"/>
        <v>0</v>
      </c>
      <c r="BA128" s="288">
        <f t="shared" si="42"/>
        <v>0</v>
      </c>
      <c r="BB128" s="288">
        <f t="shared" si="42"/>
        <v>0</v>
      </c>
      <c r="BC128" s="288">
        <f t="shared" si="42"/>
        <v>0</v>
      </c>
      <c r="BD128" s="288">
        <f t="shared" si="42"/>
        <v>0</v>
      </c>
      <c r="BE128" s="1305">
        <f t="shared" si="42"/>
        <v>0</v>
      </c>
    </row>
    <row r="129" spans="2:57" x14ac:dyDescent="0.25">
      <c r="B129" s="277"/>
      <c r="C129" s="278"/>
      <c r="D129" s="278"/>
      <c r="E129" s="281"/>
      <c r="F129" s="281"/>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1305"/>
    </row>
    <row r="130" spans="2:57" x14ac:dyDescent="0.25">
      <c r="B130" s="277" t="s">
        <v>256</v>
      </c>
      <c r="C130" s="278"/>
      <c r="D130" s="278"/>
      <c r="E130" s="281"/>
      <c r="F130" s="281" t="s">
        <v>22</v>
      </c>
      <c r="G130" s="288"/>
      <c r="H130" s="288">
        <f>H463</f>
        <v>0</v>
      </c>
      <c r="I130" s="288">
        <f>I463</f>
        <v>0</v>
      </c>
      <c r="J130" s="288">
        <f t="shared" ref="J130:BE130" si="43">J463</f>
        <v>0</v>
      </c>
      <c r="K130" s="288">
        <f t="shared" si="43"/>
        <v>0</v>
      </c>
      <c r="L130" s="288">
        <f t="shared" si="43"/>
        <v>0</v>
      </c>
      <c r="M130" s="288">
        <f t="shared" si="43"/>
        <v>0</v>
      </c>
      <c r="N130" s="288">
        <f t="shared" si="43"/>
        <v>0</v>
      </c>
      <c r="O130" s="288">
        <f t="shared" si="43"/>
        <v>0</v>
      </c>
      <c r="P130" s="288">
        <f t="shared" si="43"/>
        <v>0</v>
      </c>
      <c r="Q130" s="288">
        <f t="shared" si="43"/>
        <v>0</v>
      </c>
      <c r="R130" s="288">
        <f t="shared" si="43"/>
        <v>0</v>
      </c>
      <c r="S130" s="288">
        <f t="shared" si="43"/>
        <v>0</v>
      </c>
      <c r="T130" s="288">
        <f t="shared" si="43"/>
        <v>0</v>
      </c>
      <c r="U130" s="288">
        <f t="shared" si="43"/>
        <v>0</v>
      </c>
      <c r="V130" s="288">
        <f t="shared" si="43"/>
        <v>0</v>
      </c>
      <c r="W130" s="288">
        <f t="shared" si="43"/>
        <v>0</v>
      </c>
      <c r="X130" s="288">
        <f t="shared" si="43"/>
        <v>0</v>
      </c>
      <c r="Y130" s="288">
        <f t="shared" si="43"/>
        <v>0</v>
      </c>
      <c r="Z130" s="288">
        <f t="shared" si="43"/>
        <v>0</v>
      </c>
      <c r="AA130" s="288">
        <f t="shared" si="43"/>
        <v>0</v>
      </c>
      <c r="AB130" s="288">
        <f t="shared" si="43"/>
        <v>0</v>
      </c>
      <c r="AC130" s="288">
        <f t="shared" si="43"/>
        <v>0</v>
      </c>
      <c r="AD130" s="288">
        <f t="shared" si="43"/>
        <v>0</v>
      </c>
      <c r="AE130" s="288">
        <f t="shared" si="43"/>
        <v>0</v>
      </c>
      <c r="AF130" s="288">
        <f t="shared" si="43"/>
        <v>0</v>
      </c>
      <c r="AG130" s="288">
        <f t="shared" si="43"/>
        <v>0</v>
      </c>
      <c r="AH130" s="288">
        <f t="shared" si="43"/>
        <v>0</v>
      </c>
      <c r="AI130" s="288">
        <f t="shared" si="43"/>
        <v>0</v>
      </c>
      <c r="AJ130" s="288">
        <f t="shared" si="43"/>
        <v>0</v>
      </c>
      <c r="AK130" s="288">
        <f t="shared" si="43"/>
        <v>0</v>
      </c>
      <c r="AL130" s="288">
        <f t="shared" si="43"/>
        <v>0</v>
      </c>
      <c r="AM130" s="288">
        <f t="shared" si="43"/>
        <v>0</v>
      </c>
      <c r="AN130" s="288">
        <f t="shared" si="43"/>
        <v>0</v>
      </c>
      <c r="AO130" s="288">
        <f t="shared" si="43"/>
        <v>0</v>
      </c>
      <c r="AP130" s="288">
        <f t="shared" si="43"/>
        <v>0</v>
      </c>
      <c r="AQ130" s="288">
        <f t="shared" si="43"/>
        <v>0</v>
      </c>
      <c r="AR130" s="288">
        <f t="shared" si="43"/>
        <v>0</v>
      </c>
      <c r="AS130" s="288">
        <f t="shared" si="43"/>
        <v>0</v>
      </c>
      <c r="AT130" s="288">
        <f t="shared" si="43"/>
        <v>0</v>
      </c>
      <c r="AU130" s="288">
        <f t="shared" si="43"/>
        <v>0</v>
      </c>
      <c r="AV130" s="288">
        <f t="shared" si="43"/>
        <v>0</v>
      </c>
      <c r="AW130" s="288">
        <f t="shared" si="43"/>
        <v>0</v>
      </c>
      <c r="AX130" s="288">
        <f t="shared" si="43"/>
        <v>0</v>
      </c>
      <c r="AY130" s="288">
        <f t="shared" si="43"/>
        <v>0</v>
      </c>
      <c r="AZ130" s="288">
        <f t="shared" si="43"/>
        <v>0</v>
      </c>
      <c r="BA130" s="288">
        <f t="shared" si="43"/>
        <v>0</v>
      </c>
      <c r="BB130" s="288">
        <f t="shared" si="43"/>
        <v>0</v>
      </c>
      <c r="BC130" s="288">
        <f t="shared" si="43"/>
        <v>0</v>
      </c>
      <c r="BD130" s="288">
        <f t="shared" si="43"/>
        <v>0</v>
      </c>
      <c r="BE130" s="1305">
        <f t="shared" si="43"/>
        <v>0</v>
      </c>
    </row>
    <row r="131" spans="2:57" x14ac:dyDescent="0.25">
      <c r="B131" s="277" t="s">
        <v>188</v>
      </c>
      <c r="C131" s="278"/>
      <c r="D131" s="278"/>
      <c r="E131" s="281"/>
      <c r="F131" s="281" t="s">
        <v>22</v>
      </c>
      <c r="G131" s="288"/>
      <c r="H131" s="288">
        <f>H484</f>
        <v>0</v>
      </c>
      <c r="I131" s="288">
        <f>I484</f>
        <v>0</v>
      </c>
      <c r="J131" s="288">
        <f t="shared" ref="J131:BE131" si="44">J484</f>
        <v>0</v>
      </c>
      <c r="K131" s="288">
        <f t="shared" si="44"/>
        <v>0</v>
      </c>
      <c r="L131" s="288">
        <f t="shared" si="44"/>
        <v>0</v>
      </c>
      <c r="M131" s="288">
        <f t="shared" si="44"/>
        <v>0</v>
      </c>
      <c r="N131" s="288">
        <f t="shared" si="44"/>
        <v>0</v>
      </c>
      <c r="O131" s="288">
        <f t="shared" si="44"/>
        <v>0</v>
      </c>
      <c r="P131" s="288">
        <f t="shared" si="44"/>
        <v>0</v>
      </c>
      <c r="Q131" s="288">
        <f t="shared" si="44"/>
        <v>0</v>
      </c>
      <c r="R131" s="288">
        <f t="shared" si="44"/>
        <v>0</v>
      </c>
      <c r="S131" s="288">
        <f t="shared" si="44"/>
        <v>0</v>
      </c>
      <c r="T131" s="288">
        <f t="shared" si="44"/>
        <v>0</v>
      </c>
      <c r="U131" s="288">
        <f t="shared" si="44"/>
        <v>0</v>
      </c>
      <c r="V131" s="288">
        <f t="shared" si="44"/>
        <v>0</v>
      </c>
      <c r="W131" s="288">
        <f t="shared" si="44"/>
        <v>0</v>
      </c>
      <c r="X131" s="288">
        <f t="shared" si="44"/>
        <v>0</v>
      </c>
      <c r="Y131" s="288">
        <f t="shared" si="44"/>
        <v>0</v>
      </c>
      <c r="Z131" s="288">
        <f t="shared" si="44"/>
        <v>0</v>
      </c>
      <c r="AA131" s="288">
        <f t="shared" si="44"/>
        <v>0</v>
      </c>
      <c r="AB131" s="288">
        <f t="shared" si="44"/>
        <v>0</v>
      </c>
      <c r="AC131" s="288">
        <f t="shared" si="44"/>
        <v>0</v>
      </c>
      <c r="AD131" s="288">
        <f t="shared" si="44"/>
        <v>0</v>
      </c>
      <c r="AE131" s="288">
        <f t="shared" si="44"/>
        <v>0</v>
      </c>
      <c r="AF131" s="288">
        <f t="shared" si="44"/>
        <v>0</v>
      </c>
      <c r="AG131" s="288">
        <f t="shared" si="44"/>
        <v>0</v>
      </c>
      <c r="AH131" s="288">
        <f t="shared" si="44"/>
        <v>0</v>
      </c>
      <c r="AI131" s="288">
        <f t="shared" si="44"/>
        <v>0</v>
      </c>
      <c r="AJ131" s="288">
        <f t="shared" si="44"/>
        <v>0</v>
      </c>
      <c r="AK131" s="288">
        <f t="shared" si="44"/>
        <v>0</v>
      </c>
      <c r="AL131" s="288">
        <f t="shared" si="44"/>
        <v>0</v>
      </c>
      <c r="AM131" s="288">
        <f t="shared" si="44"/>
        <v>0</v>
      </c>
      <c r="AN131" s="288">
        <f t="shared" si="44"/>
        <v>0</v>
      </c>
      <c r="AO131" s="288">
        <f t="shared" si="44"/>
        <v>0</v>
      </c>
      <c r="AP131" s="288">
        <f t="shared" si="44"/>
        <v>0</v>
      </c>
      <c r="AQ131" s="288">
        <f t="shared" si="44"/>
        <v>0</v>
      </c>
      <c r="AR131" s="288">
        <f t="shared" si="44"/>
        <v>0</v>
      </c>
      <c r="AS131" s="288">
        <f t="shared" si="44"/>
        <v>0</v>
      </c>
      <c r="AT131" s="288">
        <f t="shared" si="44"/>
        <v>0</v>
      </c>
      <c r="AU131" s="288">
        <f t="shared" si="44"/>
        <v>0</v>
      </c>
      <c r="AV131" s="288">
        <f t="shared" si="44"/>
        <v>0</v>
      </c>
      <c r="AW131" s="288">
        <f t="shared" si="44"/>
        <v>0</v>
      </c>
      <c r="AX131" s="288">
        <f t="shared" si="44"/>
        <v>0</v>
      </c>
      <c r="AY131" s="288">
        <f t="shared" si="44"/>
        <v>0</v>
      </c>
      <c r="AZ131" s="288">
        <f t="shared" si="44"/>
        <v>0</v>
      </c>
      <c r="BA131" s="288">
        <f t="shared" si="44"/>
        <v>0</v>
      </c>
      <c r="BB131" s="288">
        <f t="shared" si="44"/>
        <v>0</v>
      </c>
      <c r="BC131" s="288">
        <f t="shared" si="44"/>
        <v>0</v>
      </c>
      <c r="BD131" s="288">
        <f t="shared" si="44"/>
        <v>0</v>
      </c>
      <c r="BE131" s="1305">
        <f t="shared" si="44"/>
        <v>0</v>
      </c>
    </row>
    <row r="132" spans="2:57" x14ac:dyDescent="0.25">
      <c r="B132" s="277" t="s">
        <v>189</v>
      </c>
      <c r="C132" s="278"/>
      <c r="D132" s="278"/>
      <c r="E132" s="281"/>
      <c r="F132" s="281" t="s">
        <v>22</v>
      </c>
      <c r="G132" s="288"/>
      <c r="H132" s="288">
        <f>H505</f>
        <v>0</v>
      </c>
      <c r="I132" s="288">
        <f>I505</f>
        <v>0</v>
      </c>
      <c r="J132" s="288">
        <f t="shared" ref="J132:BE132" si="45">J505</f>
        <v>0</v>
      </c>
      <c r="K132" s="288">
        <f t="shared" si="45"/>
        <v>0</v>
      </c>
      <c r="L132" s="288">
        <f t="shared" si="45"/>
        <v>0</v>
      </c>
      <c r="M132" s="288">
        <f t="shared" si="45"/>
        <v>0</v>
      </c>
      <c r="N132" s="288">
        <f t="shared" si="45"/>
        <v>0</v>
      </c>
      <c r="O132" s="288">
        <f t="shared" si="45"/>
        <v>0</v>
      </c>
      <c r="P132" s="288">
        <f t="shared" si="45"/>
        <v>0</v>
      </c>
      <c r="Q132" s="288">
        <f t="shared" si="45"/>
        <v>0</v>
      </c>
      <c r="R132" s="288">
        <f t="shared" si="45"/>
        <v>0</v>
      </c>
      <c r="S132" s="288">
        <f t="shared" si="45"/>
        <v>0</v>
      </c>
      <c r="T132" s="288">
        <f t="shared" si="45"/>
        <v>0</v>
      </c>
      <c r="U132" s="288">
        <f t="shared" si="45"/>
        <v>0</v>
      </c>
      <c r="V132" s="288">
        <f t="shared" si="45"/>
        <v>0</v>
      </c>
      <c r="W132" s="288">
        <f t="shared" si="45"/>
        <v>0</v>
      </c>
      <c r="X132" s="288">
        <f t="shared" si="45"/>
        <v>0</v>
      </c>
      <c r="Y132" s="288">
        <f t="shared" si="45"/>
        <v>0</v>
      </c>
      <c r="Z132" s="288">
        <f t="shared" si="45"/>
        <v>0</v>
      </c>
      <c r="AA132" s="288">
        <f t="shared" si="45"/>
        <v>0</v>
      </c>
      <c r="AB132" s="288">
        <f t="shared" si="45"/>
        <v>0</v>
      </c>
      <c r="AC132" s="288">
        <f t="shared" si="45"/>
        <v>0</v>
      </c>
      <c r="AD132" s="288">
        <f t="shared" si="45"/>
        <v>0</v>
      </c>
      <c r="AE132" s="288">
        <f t="shared" si="45"/>
        <v>0</v>
      </c>
      <c r="AF132" s="288">
        <f t="shared" si="45"/>
        <v>0</v>
      </c>
      <c r="AG132" s="288">
        <f t="shared" si="45"/>
        <v>0</v>
      </c>
      <c r="AH132" s="288">
        <f t="shared" si="45"/>
        <v>0</v>
      </c>
      <c r="AI132" s="288">
        <f t="shared" si="45"/>
        <v>0</v>
      </c>
      <c r="AJ132" s="288">
        <f t="shared" si="45"/>
        <v>0</v>
      </c>
      <c r="AK132" s="288">
        <f t="shared" si="45"/>
        <v>0</v>
      </c>
      <c r="AL132" s="288">
        <f t="shared" si="45"/>
        <v>0</v>
      </c>
      <c r="AM132" s="288">
        <f t="shared" si="45"/>
        <v>0</v>
      </c>
      <c r="AN132" s="288">
        <f t="shared" si="45"/>
        <v>0</v>
      </c>
      <c r="AO132" s="288">
        <f t="shared" si="45"/>
        <v>0</v>
      </c>
      <c r="AP132" s="288">
        <f t="shared" si="45"/>
        <v>0</v>
      </c>
      <c r="AQ132" s="288">
        <f t="shared" si="45"/>
        <v>0</v>
      </c>
      <c r="AR132" s="288">
        <f t="shared" si="45"/>
        <v>0</v>
      </c>
      <c r="AS132" s="288">
        <f t="shared" si="45"/>
        <v>0</v>
      </c>
      <c r="AT132" s="288">
        <f t="shared" si="45"/>
        <v>0</v>
      </c>
      <c r="AU132" s="288">
        <f t="shared" si="45"/>
        <v>0</v>
      </c>
      <c r="AV132" s="288">
        <f t="shared" si="45"/>
        <v>0</v>
      </c>
      <c r="AW132" s="288">
        <f t="shared" si="45"/>
        <v>0</v>
      </c>
      <c r="AX132" s="288">
        <f t="shared" si="45"/>
        <v>0</v>
      </c>
      <c r="AY132" s="288">
        <f t="shared" si="45"/>
        <v>0</v>
      </c>
      <c r="AZ132" s="288">
        <f t="shared" si="45"/>
        <v>0</v>
      </c>
      <c r="BA132" s="288">
        <f t="shared" si="45"/>
        <v>0</v>
      </c>
      <c r="BB132" s="288">
        <f t="shared" si="45"/>
        <v>0</v>
      </c>
      <c r="BC132" s="288">
        <f t="shared" si="45"/>
        <v>0</v>
      </c>
      <c r="BD132" s="288">
        <f t="shared" si="45"/>
        <v>0</v>
      </c>
      <c r="BE132" s="1305">
        <f t="shared" si="45"/>
        <v>0</v>
      </c>
    </row>
    <row r="133" spans="2:57" x14ac:dyDescent="0.25">
      <c r="B133" s="277" t="s">
        <v>132</v>
      </c>
      <c r="C133" s="278"/>
      <c r="D133" s="278"/>
      <c r="E133" s="281"/>
      <c r="F133" s="281" t="s">
        <v>22</v>
      </c>
      <c r="G133" s="288"/>
      <c r="H133" s="288">
        <f>(H474+H495+H516)</f>
        <v>0</v>
      </c>
      <c r="I133" s="288">
        <f>(I474+I495+I516)</f>
        <v>0</v>
      </c>
      <c r="J133" s="288">
        <f t="shared" ref="J133:BE133" si="46">(J474+J495+J516)</f>
        <v>0</v>
      </c>
      <c r="K133" s="288">
        <f t="shared" si="46"/>
        <v>0</v>
      </c>
      <c r="L133" s="288">
        <f t="shared" si="46"/>
        <v>0</v>
      </c>
      <c r="M133" s="288">
        <f t="shared" si="46"/>
        <v>0</v>
      </c>
      <c r="N133" s="288">
        <f t="shared" si="46"/>
        <v>0</v>
      </c>
      <c r="O133" s="288">
        <f t="shared" si="46"/>
        <v>0</v>
      </c>
      <c r="P133" s="288">
        <f t="shared" si="46"/>
        <v>0</v>
      </c>
      <c r="Q133" s="288">
        <f t="shared" si="46"/>
        <v>0</v>
      </c>
      <c r="R133" s="288">
        <f t="shared" si="46"/>
        <v>0</v>
      </c>
      <c r="S133" s="288">
        <f t="shared" si="46"/>
        <v>0</v>
      </c>
      <c r="T133" s="288">
        <f t="shared" si="46"/>
        <v>0</v>
      </c>
      <c r="U133" s="288">
        <f t="shared" si="46"/>
        <v>0</v>
      </c>
      <c r="V133" s="288">
        <f t="shared" si="46"/>
        <v>0</v>
      </c>
      <c r="W133" s="288">
        <f t="shared" si="46"/>
        <v>0</v>
      </c>
      <c r="X133" s="288">
        <f t="shared" si="46"/>
        <v>0</v>
      </c>
      <c r="Y133" s="288">
        <f t="shared" si="46"/>
        <v>0</v>
      </c>
      <c r="Z133" s="288">
        <f t="shared" si="46"/>
        <v>0</v>
      </c>
      <c r="AA133" s="288">
        <f t="shared" si="46"/>
        <v>0</v>
      </c>
      <c r="AB133" s="288">
        <f t="shared" si="46"/>
        <v>0</v>
      </c>
      <c r="AC133" s="288">
        <f t="shared" si="46"/>
        <v>0</v>
      </c>
      <c r="AD133" s="288">
        <f t="shared" si="46"/>
        <v>0</v>
      </c>
      <c r="AE133" s="288">
        <f t="shared" si="46"/>
        <v>0</v>
      </c>
      <c r="AF133" s="288">
        <f t="shared" si="46"/>
        <v>0</v>
      </c>
      <c r="AG133" s="288">
        <f t="shared" si="46"/>
        <v>0</v>
      </c>
      <c r="AH133" s="288">
        <f t="shared" si="46"/>
        <v>0</v>
      </c>
      <c r="AI133" s="288">
        <f t="shared" si="46"/>
        <v>0</v>
      </c>
      <c r="AJ133" s="288">
        <f t="shared" si="46"/>
        <v>0</v>
      </c>
      <c r="AK133" s="288">
        <f t="shared" si="46"/>
        <v>0</v>
      </c>
      <c r="AL133" s="288">
        <f t="shared" si="46"/>
        <v>0</v>
      </c>
      <c r="AM133" s="288">
        <f t="shared" si="46"/>
        <v>0</v>
      </c>
      <c r="AN133" s="288">
        <f t="shared" si="46"/>
        <v>0</v>
      </c>
      <c r="AO133" s="288">
        <f t="shared" si="46"/>
        <v>0</v>
      </c>
      <c r="AP133" s="288">
        <f t="shared" si="46"/>
        <v>0</v>
      </c>
      <c r="AQ133" s="288">
        <f t="shared" si="46"/>
        <v>0</v>
      </c>
      <c r="AR133" s="288">
        <f t="shared" si="46"/>
        <v>0</v>
      </c>
      <c r="AS133" s="288">
        <f t="shared" si="46"/>
        <v>0</v>
      </c>
      <c r="AT133" s="288">
        <f t="shared" si="46"/>
        <v>0</v>
      </c>
      <c r="AU133" s="288">
        <f t="shared" si="46"/>
        <v>0</v>
      </c>
      <c r="AV133" s="288">
        <f t="shared" si="46"/>
        <v>0</v>
      </c>
      <c r="AW133" s="288">
        <f t="shared" si="46"/>
        <v>0</v>
      </c>
      <c r="AX133" s="288">
        <f t="shared" si="46"/>
        <v>0</v>
      </c>
      <c r="AY133" s="288">
        <f t="shared" si="46"/>
        <v>0</v>
      </c>
      <c r="AZ133" s="288">
        <f t="shared" si="46"/>
        <v>0</v>
      </c>
      <c r="BA133" s="288">
        <f t="shared" si="46"/>
        <v>0</v>
      </c>
      <c r="BB133" s="288">
        <f t="shared" si="46"/>
        <v>0</v>
      </c>
      <c r="BC133" s="288">
        <f t="shared" si="46"/>
        <v>0</v>
      </c>
      <c r="BD133" s="288">
        <f t="shared" si="46"/>
        <v>0</v>
      </c>
      <c r="BE133" s="1305">
        <f t="shared" si="46"/>
        <v>0</v>
      </c>
    </row>
    <row r="134" spans="2:57" x14ac:dyDescent="0.25">
      <c r="B134" s="277" t="s">
        <v>190</v>
      </c>
      <c r="C134" s="278"/>
      <c r="D134" s="278"/>
      <c r="E134" s="281"/>
      <c r="F134" s="281" t="s">
        <v>22</v>
      </c>
      <c r="G134" s="288"/>
      <c r="H134" s="288">
        <f>(H496+H497)</f>
        <v>0</v>
      </c>
      <c r="I134" s="288">
        <f>I497</f>
        <v>0</v>
      </c>
      <c r="J134" s="288">
        <f t="shared" ref="J134:BE134" si="47">J497</f>
        <v>0</v>
      </c>
      <c r="K134" s="288">
        <f t="shared" si="47"/>
        <v>0</v>
      </c>
      <c r="L134" s="288">
        <f t="shared" si="47"/>
        <v>0</v>
      </c>
      <c r="M134" s="288">
        <f t="shared" si="47"/>
        <v>0</v>
      </c>
      <c r="N134" s="288">
        <f t="shared" si="47"/>
        <v>0</v>
      </c>
      <c r="O134" s="288">
        <f t="shared" si="47"/>
        <v>0</v>
      </c>
      <c r="P134" s="288">
        <f t="shared" si="47"/>
        <v>0</v>
      </c>
      <c r="Q134" s="288">
        <f t="shared" si="47"/>
        <v>0</v>
      </c>
      <c r="R134" s="288">
        <f t="shared" si="47"/>
        <v>0</v>
      </c>
      <c r="S134" s="288">
        <f t="shared" si="47"/>
        <v>0</v>
      </c>
      <c r="T134" s="288">
        <f t="shared" si="47"/>
        <v>0</v>
      </c>
      <c r="U134" s="288">
        <f t="shared" si="47"/>
        <v>0</v>
      </c>
      <c r="V134" s="288">
        <f t="shared" si="47"/>
        <v>0</v>
      </c>
      <c r="W134" s="288">
        <f t="shared" si="47"/>
        <v>0</v>
      </c>
      <c r="X134" s="288">
        <f t="shared" si="47"/>
        <v>0</v>
      </c>
      <c r="Y134" s="288">
        <f t="shared" si="47"/>
        <v>0</v>
      </c>
      <c r="Z134" s="288">
        <f t="shared" si="47"/>
        <v>0</v>
      </c>
      <c r="AA134" s="288">
        <f t="shared" si="47"/>
        <v>0</v>
      </c>
      <c r="AB134" s="288">
        <f t="shared" si="47"/>
        <v>0</v>
      </c>
      <c r="AC134" s="288">
        <f t="shared" si="47"/>
        <v>0</v>
      </c>
      <c r="AD134" s="288">
        <f t="shared" si="47"/>
        <v>0</v>
      </c>
      <c r="AE134" s="288">
        <f t="shared" si="47"/>
        <v>0</v>
      </c>
      <c r="AF134" s="288">
        <f t="shared" si="47"/>
        <v>0</v>
      </c>
      <c r="AG134" s="288">
        <f t="shared" si="47"/>
        <v>0</v>
      </c>
      <c r="AH134" s="288">
        <f t="shared" si="47"/>
        <v>0</v>
      </c>
      <c r="AI134" s="288">
        <f t="shared" si="47"/>
        <v>0</v>
      </c>
      <c r="AJ134" s="288">
        <f t="shared" si="47"/>
        <v>0</v>
      </c>
      <c r="AK134" s="288">
        <f t="shared" si="47"/>
        <v>0</v>
      </c>
      <c r="AL134" s="288">
        <f t="shared" si="47"/>
        <v>0</v>
      </c>
      <c r="AM134" s="288">
        <f t="shared" si="47"/>
        <v>0</v>
      </c>
      <c r="AN134" s="288">
        <f t="shared" si="47"/>
        <v>0</v>
      </c>
      <c r="AO134" s="288">
        <f t="shared" si="47"/>
        <v>0</v>
      </c>
      <c r="AP134" s="288">
        <f t="shared" si="47"/>
        <v>0</v>
      </c>
      <c r="AQ134" s="288">
        <f t="shared" si="47"/>
        <v>0</v>
      </c>
      <c r="AR134" s="288">
        <f t="shared" si="47"/>
        <v>0</v>
      </c>
      <c r="AS134" s="288">
        <f t="shared" si="47"/>
        <v>0</v>
      </c>
      <c r="AT134" s="288">
        <f t="shared" si="47"/>
        <v>0</v>
      </c>
      <c r="AU134" s="288">
        <f t="shared" si="47"/>
        <v>0</v>
      </c>
      <c r="AV134" s="288">
        <f t="shared" si="47"/>
        <v>0</v>
      </c>
      <c r="AW134" s="288">
        <f t="shared" si="47"/>
        <v>0</v>
      </c>
      <c r="AX134" s="288">
        <f t="shared" si="47"/>
        <v>0</v>
      </c>
      <c r="AY134" s="288">
        <f t="shared" si="47"/>
        <v>0</v>
      </c>
      <c r="AZ134" s="288">
        <f t="shared" si="47"/>
        <v>0</v>
      </c>
      <c r="BA134" s="288">
        <f t="shared" si="47"/>
        <v>0</v>
      </c>
      <c r="BB134" s="288">
        <f t="shared" si="47"/>
        <v>0</v>
      </c>
      <c r="BC134" s="288">
        <f t="shared" si="47"/>
        <v>0</v>
      </c>
      <c r="BD134" s="288">
        <f t="shared" si="47"/>
        <v>0</v>
      </c>
      <c r="BE134" s="1305">
        <f t="shared" si="47"/>
        <v>0</v>
      </c>
    </row>
    <row r="135" spans="2:57" x14ac:dyDescent="0.25">
      <c r="B135" s="277" t="s">
        <v>134</v>
      </c>
      <c r="C135" s="278"/>
      <c r="D135" s="278"/>
      <c r="E135" s="281"/>
      <c r="F135" s="281" t="s">
        <v>22</v>
      </c>
      <c r="G135" s="288"/>
      <c r="H135" s="288">
        <f>(H526+H527)</f>
        <v>0</v>
      </c>
      <c r="I135" s="288">
        <f>I527</f>
        <v>0</v>
      </c>
      <c r="J135" s="288">
        <f t="shared" ref="J135:BE135" si="48">J527</f>
        <v>0</v>
      </c>
      <c r="K135" s="288">
        <f t="shared" si="48"/>
        <v>0</v>
      </c>
      <c r="L135" s="288">
        <f t="shared" si="48"/>
        <v>0</v>
      </c>
      <c r="M135" s="288">
        <f t="shared" si="48"/>
        <v>0</v>
      </c>
      <c r="N135" s="288">
        <f t="shared" si="48"/>
        <v>0</v>
      </c>
      <c r="O135" s="288">
        <f t="shared" si="48"/>
        <v>0</v>
      </c>
      <c r="P135" s="288">
        <f t="shared" si="48"/>
        <v>0</v>
      </c>
      <c r="Q135" s="288">
        <f t="shared" si="48"/>
        <v>0</v>
      </c>
      <c r="R135" s="288">
        <f t="shared" si="48"/>
        <v>0</v>
      </c>
      <c r="S135" s="288">
        <f t="shared" si="48"/>
        <v>0</v>
      </c>
      <c r="T135" s="288">
        <f t="shared" si="48"/>
        <v>0</v>
      </c>
      <c r="U135" s="288">
        <f t="shared" si="48"/>
        <v>0</v>
      </c>
      <c r="V135" s="288">
        <f t="shared" si="48"/>
        <v>0</v>
      </c>
      <c r="W135" s="288">
        <f t="shared" si="48"/>
        <v>0</v>
      </c>
      <c r="X135" s="288">
        <f t="shared" si="48"/>
        <v>0</v>
      </c>
      <c r="Y135" s="288">
        <f t="shared" si="48"/>
        <v>0</v>
      </c>
      <c r="Z135" s="288">
        <f t="shared" si="48"/>
        <v>0</v>
      </c>
      <c r="AA135" s="288">
        <f t="shared" si="48"/>
        <v>0</v>
      </c>
      <c r="AB135" s="288">
        <f t="shared" si="48"/>
        <v>0</v>
      </c>
      <c r="AC135" s="288">
        <f t="shared" si="48"/>
        <v>0</v>
      </c>
      <c r="AD135" s="288">
        <f t="shared" si="48"/>
        <v>0</v>
      </c>
      <c r="AE135" s="288">
        <f t="shared" si="48"/>
        <v>0</v>
      </c>
      <c r="AF135" s="288">
        <f t="shared" si="48"/>
        <v>0</v>
      </c>
      <c r="AG135" s="288">
        <f t="shared" si="48"/>
        <v>0</v>
      </c>
      <c r="AH135" s="288">
        <f t="shared" si="48"/>
        <v>0</v>
      </c>
      <c r="AI135" s="288">
        <f t="shared" si="48"/>
        <v>0</v>
      </c>
      <c r="AJ135" s="288">
        <f t="shared" si="48"/>
        <v>0</v>
      </c>
      <c r="AK135" s="288">
        <f t="shared" si="48"/>
        <v>0</v>
      </c>
      <c r="AL135" s="288">
        <f t="shared" si="48"/>
        <v>0</v>
      </c>
      <c r="AM135" s="288">
        <f t="shared" si="48"/>
        <v>0</v>
      </c>
      <c r="AN135" s="288">
        <f t="shared" si="48"/>
        <v>0</v>
      </c>
      <c r="AO135" s="288">
        <f t="shared" si="48"/>
        <v>0</v>
      </c>
      <c r="AP135" s="288">
        <f t="shared" si="48"/>
        <v>0</v>
      </c>
      <c r="AQ135" s="288">
        <f t="shared" si="48"/>
        <v>0</v>
      </c>
      <c r="AR135" s="288">
        <f t="shared" si="48"/>
        <v>0</v>
      </c>
      <c r="AS135" s="288">
        <f t="shared" si="48"/>
        <v>0</v>
      </c>
      <c r="AT135" s="288">
        <f t="shared" si="48"/>
        <v>0</v>
      </c>
      <c r="AU135" s="288">
        <f t="shared" si="48"/>
        <v>0</v>
      </c>
      <c r="AV135" s="288">
        <f t="shared" si="48"/>
        <v>0</v>
      </c>
      <c r="AW135" s="288">
        <f t="shared" si="48"/>
        <v>0</v>
      </c>
      <c r="AX135" s="288">
        <f t="shared" si="48"/>
        <v>0</v>
      </c>
      <c r="AY135" s="288">
        <f t="shared" si="48"/>
        <v>0</v>
      </c>
      <c r="AZ135" s="288">
        <f t="shared" si="48"/>
        <v>0</v>
      </c>
      <c r="BA135" s="288">
        <f t="shared" si="48"/>
        <v>0</v>
      </c>
      <c r="BB135" s="288">
        <f t="shared" si="48"/>
        <v>0</v>
      </c>
      <c r="BC135" s="288">
        <f t="shared" si="48"/>
        <v>0</v>
      </c>
      <c r="BD135" s="288">
        <f t="shared" si="48"/>
        <v>0</v>
      </c>
      <c r="BE135" s="1305">
        <f t="shared" si="48"/>
        <v>0</v>
      </c>
    </row>
    <row r="136" spans="2:57" x14ac:dyDescent="0.25">
      <c r="B136" s="277"/>
      <c r="C136" s="278"/>
      <c r="D136" s="278"/>
      <c r="E136" s="281"/>
      <c r="F136" s="281"/>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1305"/>
    </row>
    <row r="137" spans="2:57" x14ac:dyDescent="0.25">
      <c r="B137" s="277"/>
      <c r="C137" s="278"/>
      <c r="D137" s="278"/>
      <c r="E137" s="281"/>
      <c r="F137" s="281"/>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1305"/>
    </row>
    <row r="138" spans="2:57" x14ac:dyDescent="0.25">
      <c r="B138" s="289" t="s">
        <v>133</v>
      </c>
      <c r="C138" s="278"/>
      <c r="D138" s="278"/>
      <c r="E138" s="281"/>
      <c r="F138" s="281"/>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1305"/>
    </row>
    <row r="139" spans="2:57" x14ac:dyDescent="0.25">
      <c r="B139" s="277"/>
      <c r="C139" s="278"/>
      <c r="D139" s="278"/>
      <c r="E139" s="281"/>
      <c r="F139" s="281"/>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1305"/>
    </row>
    <row r="140" spans="2:57" x14ac:dyDescent="0.25">
      <c r="B140" s="277" t="str">
        <f>B118</f>
        <v>Operations &amp; Maintenance Expenses, excluding fuel cost</v>
      </c>
      <c r="C140" s="278"/>
      <c r="D140" s="278"/>
      <c r="E140" s="281"/>
      <c r="F140" s="281" t="s">
        <v>22</v>
      </c>
      <c r="G140" s="288"/>
      <c r="H140" s="288">
        <f>-H118</f>
        <v>0</v>
      </c>
      <c r="I140" s="288">
        <f t="shared" ref="I140:BE140" si="49">-I118</f>
        <v>0</v>
      </c>
      <c r="J140" s="288">
        <f t="shared" si="49"/>
        <v>0</v>
      </c>
      <c r="K140" s="288">
        <f t="shared" si="49"/>
        <v>0</v>
      </c>
      <c r="L140" s="288">
        <f t="shared" si="49"/>
        <v>0</v>
      </c>
      <c r="M140" s="288">
        <f t="shared" si="49"/>
        <v>0</v>
      </c>
      <c r="N140" s="288">
        <f t="shared" si="49"/>
        <v>0</v>
      </c>
      <c r="O140" s="288">
        <f t="shared" si="49"/>
        <v>0</v>
      </c>
      <c r="P140" s="288">
        <f t="shared" si="49"/>
        <v>0</v>
      </c>
      <c r="Q140" s="288">
        <f t="shared" si="49"/>
        <v>0</v>
      </c>
      <c r="R140" s="288">
        <f t="shared" si="49"/>
        <v>0</v>
      </c>
      <c r="S140" s="288">
        <f t="shared" si="49"/>
        <v>0</v>
      </c>
      <c r="T140" s="288">
        <f t="shared" si="49"/>
        <v>0</v>
      </c>
      <c r="U140" s="288">
        <f t="shared" si="49"/>
        <v>0</v>
      </c>
      <c r="V140" s="288">
        <f t="shared" si="49"/>
        <v>0</v>
      </c>
      <c r="W140" s="288">
        <f t="shared" si="49"/>
        <v>0</v>
      </c>
      <c r="X140" s="288">
        <f t="shared" si="49"/>
        <v>0</v>
      </c>
      <c r="Y140" s="288">
        <f t="shared" si="49"/>
        <v>0</v>
      </c>
      <c r="Z140" s="288">
        <f t="shared" si="49"/>
        <v>0</v>
      </c>
      <c r="AA140" s="288">
        <f t="shared" si="49"/>
        <v>0</v>
      </c>
      <c r="AB140" s="288">
        <f t="shared" si="49"/>
        <v>0</v>
      </c>
      <c r="AC140" s="288">
        <f t="shared" si="49"/>
        <v>0</v>
      </c>
      <c r="AD140" s="288">
        <f t="shared" si="49"/>
        <v>0</v>
      </c>
      <c r="AE140" s="288">
        <f t="shared" si="49"/>
        <v>0</v>
      </c>
      <c r="AF140" s="288">
        <f t="shared" si="49"/>
        <v>0</v>
      </c>
      <c r="AG140" s="288">
        <f t="shared" si="49"/>
        <v>0</v>
      </c>
      <c r="AH140" s="288">
        <f t="shared" si="49"/>
        <v>0</v>
      </c>
      <c r="AI140" s="288">
        <f t="shared" si="49"/>
        <v>0</v>
      </c>
      <c r="AJ140" s="288">
        <f t="shared" si="49"/>
        <v>0</v>
      </c>
      <c r="AK140" s="288">
        <f t="shared" si="49"/>
        <v>0</v>
      </c>
      <c r="AL140" s="288">
        <f t="shared" si="49"/>
        <v>0</v>
      </c>
      <c r="AM140" s="288">
        <f t="shared" si="49"/>
        <v>0</v>
      </c>
      <c r="AN140" s="288">
        <f t="shared" si="49"/>
        <v>0</v>
      </c>
      <c r="AO140" s="288">
        <f t="shared" si="49"/>
        <v>0</v>
      </c>
      <c r="AP140" s="288">
        <f t="shared" si="49"/>
        <v>0</v>
      </c>
      <c r="AQ140" s="288">
        <f t="shared" si="49"/>
        <v>0</v>
      </c>
      <c r="AR140" s="288">
        <f t="shared" si="49"/>
        <v>0</v>
      </c>
      <c r="AS140" s="288">
        <f t="shared" si="49"/>
        <v>0</v>
      </c>
      <c r="AT140" s="288">
        <f t="shared" si="49"/>
        <v>0</v>
      </c>
      <c r="AU140" s="288">
        <f t="shared" si="49"/>
        <v>0</v>
      </c>
      <c r="AV140" s="288">
        <f t="shared" si="49"/>
        <v>0</v>
      </c>
      <c r="AW140" s="288">
        <f t="shared" si="49"/>
        <v>0</v>
      </c>
      <c r="AX140" s="288">
        <f t="shared" si="49"/>
        <v>0</v>
      </c>
      <c r="AY140" s="288">
        <f t="shared" si="49"/>
        <v>0</v>
      </c>
      <c r="AZ140" s="288">
        <f t="shared" si="49"/>
        <v>0</v>
      </c>
      <c r="BA140" s="288">
        <f t="shared" si="49"/>
        <v>0</v>
      </c>
      <c r="BB140" s="288">
        <f t="shared" si="49"/>
        <v>0</v>
      </c>
      <c r="BC140" s="288">
        <f t="shared" si="49"/>
        <v>0</v>
      </c>
      <c r="BD140" s="288">
        <f t="shared" si="49"/>
        <v>0</v>
      </c>
      <c r="BE140" s="1305">
        <f t="shared" si="49"/>
        <v>0</v>
      </c>
    </row>
    <row r="141" spans="2:57" x14ac:dyDescent="0.25">
      <c r="B141" s="277" t="s">
        <v>41</v>
      </c>
      <c r="C141" s="278"/>
      <c r="D141" s="278"/>
      <c r="E141" s="281"/>
      <c r="F141" s="281" t="s">
        <v>22</v>
      </c>
      <c r="G141" s="288"/>
      <c r="H141" s="288">
        <f>-H126</f>
        <v>0</v>
      </c>
      <c r="I141" s="288">
        <f t="shared" ref="I141:BE141" si="50">-I126</f>
        <v>0</v>
      </c>
      <c r="J141" s="288">
        <f t="shared" si="50"/>
        <v>0</v>
      </c>
      <c r="K141" s="288">
        <f t="shared" si="50"/>
        <v>0</v>
      </c>
      <c r="L141" s="288">
        <f t="shared" si="50"/>
        <v>0</v>
      </c>
      <c r="M141" s="288">
        <f t="shared" si="50"/>
        <v>0</v>
      </c>
      <c r="N141" s="288">
        <f t="shared" si="50"/>
        <v>0</v>
      </c>
      <c r="O141" s="288">
        <f t="shared" si="50"/>
        <v>0</v>
      </c>
      <c r="P141" s="288">
        <f t="shared" si="50"/>
        <v>0</v>
      </c>
      <c r="Q141" s="288">
        <f t="shared" si="50"/>
        <v>0</v>
      </c>
      <c r="R141" s="288">
        <f t="shared" si="50"/>
        <v>0</v>
      </c>
      <c r="S141" s="288">
        <f t="shared" si="50"/>
        <v>0</v>
      </c>
      <c r="T141" s="288">
        <f t="shared" si="50"/>
        <v>0</v>
      </c>
      <c r="U141" s="288">
        <f t="shared" si="50"/>
        <v>0</v>
      </c>
      <c r="V141" s="288">
        <f t="shared" si="50"/>
        <v>0</v>
      </c>
      <c r="W141" s="288">
        <f t="shared" si="50"/>
        <v>0</v>
      </c>
      <c r="X141" s="288">
        <f t="shared" si="50"/>
        <v>0</v>
      </c>
      <c r="Y141" s="288">
        <f t="shared" si="50"/>
        <v>0</v>
      </c>
      <c r="Z141" s="288">
        <f t="shared" si="50"/>
        <v>0</v>
      </c>
      <c r="AA141" s="288">
        <f t="shared" si="50"/>
        <v>0</v>
      </c>
      <c r="AB141" s="288">
        <f t="shared" si="50"/>
        <v>0</v>
      </c>
      <c r="AC141" s="288">
        <f t="shared" si="50"/>
        <v>0</v>
      </c>
      <c r="AD141" s="288">
        <f t="shared" si="50"/>
        <v>0</v>
      </c>
      <c r="AE141" s="288">
        <f t="shared" si="50"/>
        <v>0</v>
      </c>
      <c r="AF141" s="288">
        <f t="shared" si="50"/>
        <v>0</v>
      </c>
      <c r="AG141" s="288">
        <f t="shared" si="50"/>
        <v>0</v>
      </c>
      <c r="AH141" s="288">
        <f t="shared" si="50"/>
        <v>0</v>
      </c>
      <c r="AI141" s="288">
        <f t="shared" si="50"/>
        <v>0</v>
      </c>
      <c r="AJ141" s="288">
        <f t="shared" si="50"/>
        <v>0</v>
      </c>
      <c r="AK141" s="288">
        <f t="shared" si="50"/>
        <v>0</v>
      </c>
      <c r="AL141" s="288">
        <f t="shared" si="50"/>
        <v>0</v>
      </c>
      <c r="AM141" s="288">
        <f t="shared" si="50"/>
        <v>0</v>
      </c>
      <c r="AN141" s="288">
        <f t="shared" si="50"/>
        <v>0</v>
      </c>
      <c r="AO141" s="288">
        <f t="shared" si="50"/>
        <v>0</v>
      </c>
      <c r="AP141" s="288">
        <f t="shared" si="50"/>
        <v>0</v>
      </c>
      <c r="AQ141" s="288">
        <f t="shared" si="50"/>
        <v>0</v>
      </c>
      <c r="AR141" s="288">
        <f t="shared" si="50"/>
        <v>0</v>
      </c>
      <c r="AS141" s="288">
        <f t="shared" si="50"/>
        <v>0</v>
      </c>
      <c r="AT141" s="288">
        <f t="shared" si="50"/>
        <v>0</v>
      </c>
      <c r="AU141" s="288">
        <f t="shared" si="50"/>
        <v>0</v>
      </c>
      <c r="AV141" s="288">
        <f t="shared" si="50"/>
        <v>0</v>
      </c>
      <c r="AW141" s="288">
        <f t="shared" si="50"/>
        <v>0</v>
      </c>
      <c r="AX141" s="288">
        <f t="shared" si="50"/>
        <v>0</v>
      </c>
      <c r="AY141" s="288">
        <f t="shared" si="50"/>
        <v>0</v>
      </c>
      <c r="AZ141" s="288">
        <f t="shared" si="50"/>
        <v>0</v>
      </c>
      <c r="BA141" s="288">
        <f t="shared" si="50"/>
        <v>0</v>
      </c>
      <c r="BB141" s="288">
        <f t="shared" si="50"/>
        <v>0</v>
      </c>
      <c r="BC141" s="288">
        <f t="shared" si="50"/>
        <v>0</v>
      </c>
      <c r="BD141" s="288">
        <f t="shared" si="50"/>
        <v>0</v>
      </c>
      <c r="BE141" s="1305">
        <f t="shared" si="50"/>
        <v>0</v>
      </c>
    </row>
    <row r="142" spans="2:57" x14ac:dyDescent="0.25">
      <c r="B142" s="277" t="str">
        <f>B133</f>
        <v xml:space="preserve">Front-end Fees </v>
      </c>
      <c r="C142" s="278"/>
      <c r="D142" s="278"/>
      <c r="E142" s="281"/>
      <c r="F142" s="281" t="s">
        <v>22</v>
      </c>
      <c r="G142" s="288"/>
      <c r="H142" s="288">
        <f>-H133</f>
        <v>0</v>
      </c>
      <c r="I142" s="288">
        <f t="shared" ref="I142:BE142" si="51">-I133</f>
        <v>0</v>
      </c>
      <c r="J142" s="288">
        <f t="shared" si="51"/>
        <v>0</v>
      </c>
      <c r="K142" s="288">
        <f t="shared" si="51"/>
        <v>0</v>
      </c>
      <c r="L142" s="288">
        <f t="shared" si="51"/>
        <v>0</v>
      </c>
      <c r="M142" s="288">
        <f t="shared" si="51"/>
        <v>0</v>
      </c>
      <c r="N142" s="288">
        <f t="shared" si="51"/>
        <v>0</v>
      </c>
      <c r="O142" s="288">
        <f t="shared" si="51"/>
        <v>0</v>
      </c>
      <c r="P142" s="288">
        <f t="shared" si="51"/>
        <v>0</v>
      </c>
      <c r="Q142" s="288">
        <f t="shared" si="51"/>
        <v>0</v>
      </c>
      <c r="R142" s="288">
        <f t="shared" si="51"/>
        <v>0</v>
      </c>
      <c r="S142" s="288">
        <f t="shared" si="51"/>
        <v>0</v>
      </c>
      <c r="T142" s="288">
        <f t="shared" si="51"/>
        <v>0</v>
      </c>
      <c r="U142" s="288">
        <f t="shared" si="51"/>
        <v>0</v>
      </c>
      <c r="V142" s="288">
        <f t="shared" si="51"/>
        <v>0</v>
      </c>
      <c r="W142" s="288">
        <f t="shared" si="51"/>
        <v>0</v>
      </c>
      <c r="X142" s="288">
        <f t="shared" si="51"/>
        <v>0</v>
      </c>
      <c r="Y142" s="288">
        <f t="shared" si="51"/>
        <v>0</v>
      </c>
      <c r="Z142" s="288">
        <f t="shared" si="51"/>
        <v>0</v>
      </c>
      <c r="AA142" s="288">
        <f t="shared" si="51"/>
        <v>0</v>
      </c>
      <c r="AB142" s="288">
        <f t="shared" si="51"/>
        <v>0</v>
      </c>
      <c r="AC142" s="288">
        <f t="shared" si="51"/>
        <v>0</v>
      </c>
      <c r="AD142" s="288">
        <f t="shared" si="51"/>
        <v>0</v>
      </c>
      <c r="AE142" s="288">
        <f t="shared" si="51"/>
        <v>0</v>
      </c>
      <c r="AF142" s="288">
        <f t="shared" si="51"/>
        <v>0</v>
      </c>
      <c r="AG142" s="288">
        <f t="shared" si="51"/>
        <v>0</v>
      </c>
      <c r="AH142" s="288">
        <f t="shared" si="51"/>
        <v>0</v>
      </c>
      <c r="AI142" s="288">
        <f t="shared" si="51"/>
        <v>0</v>
      </c>
      <c r="AJ142" s="288">
        <f t="shared" si="51"/>
        <v>0</v>
      </c>
      <c r="AK142" s="288">
        <f t="shared" si="51"/>
        <v>0</v>
      </c>
      <c r="AL142" s="288">
        <f t="shared" si="51"/>
        <v>0</v>
      </c>
      <c r="AM142" s="288">
        <f t="shared" si="51"/>
        <v>0</v>
      </c>
      <c r="AN142" s="288">
        <f t="shared" si="51"/>
        <v>0</v>
      </c>
      <c r="AO142" s="288">
        <f t="shared" si="51"/>
        <v>0</v>
      </c>
      <c r="AP142" s="288">
        <f t="shared" si="51"/>
        <v>0</v>
      </c>
      <c r="AQ142" s="288">
        <f t="shared" si="51"/>
        <v>0</v>
      </c>
      <c r="AR142" s="288">
        <f t="shared" si="51"/>
        <v>0</v>
      </c>
      <c r="AS142" s="288">
        <f t="shared" si="51"/>
        <v>0</v>
      </c>
      <c r="AT142" s="288">
        <f t="shared" si="51"/>
        <v>0</v>
      </c>
      <c r="AU142" s="288">
        <f t="shared" si="51"/>
        <v>0</v>
      </c>
      <c r="AV142" s="288">
        <f t="shared" si="51"/>
        <v>0</v>
      </c>
      <c r="AW142" s="288">
        <f t="shared" si="51"/>
        <v>0</v>
      </c>
      <c r="AX142" s="288">
        <f t="shared" si="51"/>
        <v>0</v>
      </c>
      <c r="AY142" s="288">
        <f t="shared" si="51"/>
        <v>0</v>
      </c>
      <c r="AZ142" s="288">
        <f t="shared" si="51"/>
        <v>0</v>
      </c>
      <c r="BA142" s="288">
        <f t="shared" si="51"/>
        <v>0</v>
      </c>
      <c r="BB142" s="288">
        <f t="shared" si="51"/>
        <v>0</v>
      </c>
      <c r="BC142" s="288">
        <f t="shared" si="51"/>
        <v>0</v>
      </c>
      <c r="BD142" s="288">
        <f t="shared" si="51"/>
        <v>0</v>
      </c>
      <c r="BE142" s="1305">
        <f t="shared" si="51"/>
        <v>0</v>
      </c>
    </row>
    <row r="143" spans="2:57" x14ac:dyDescent="0.25">
      <c r="B143" s="277" t="str">
        <f>B134</f>
        <v xml:space="preserve">Public Guarantee Fees </v>
      </c>
      <c r="C143" s="278"/>
      <c r="D143" s="278"/>
      <c r="E143" s="281"/>
      <c r="F143" s="281" t="s">
        <v>22</v>
      </c>
      <c r="G143" s="288"/>
      <c r="H143" s="288">
        <f>-H134</f>
        <v>0</v>
      </c>
      <c r="I143" s="288">
        <f t="shared" ref="I143:BE143" si="52">-I134</f>
        <v>0</v>
      </c>
      <c r="J143" s="288">
        <f t="shared" si="52"/>
        <v>0</v>
      </c>
      <c r="K143" s="288">
        <f t="shared" si="52"/>
        <v>0</v>
      </c>
      <c r="L143" s="288">
        <f t="shared" si="52"/>
        <v>0</v>
      </c>
      <c r="M143" s="288">
        <f t="shared" si="52"/>
        <v>0</v>
      </c>
      <c r="N143" s="288">
        <f t="shared" si="52"/>
        <v>0</v>
      </c>
      <c r="O143" s="288">
        <f t="shared" si="52"/>
        <v>0</v>
      </c>
      <c r="P143" s="288">
        <f t="shared" si="52"/>
        <v>0</v>
      </c>
      <c r="Q143" s="288">
        <f t="shared" si="52"/>
        <v>0</v>
      </c>
      <c r="R143" s="288">
        <f t="shared" si="52"/>
        <v>0</v>
      </c>
      <c r="S143" s="288">
        <f t="shared" si="52"/>
        <v>0</v>
      </c>
      <c r="T143" s="288">
        <f t="shared" si="52"/>
        <v>0</v>
      </c>
      <c r="U143" s="288">
        <f t="shared" si="52"/>
        <v>0</v>
      </c>
      <c r="V143" s="288">
        <f t="shared" si="52"/>
        <v>0</v>
      </c>
      <c r="W143" s="288">
        <f t="shared" si="52"/>
        <v>0</v>
      </c>
      <c r="X143" s="288">
        <f t="shared" si="52"/>
        <v>0</v>
      </c>
      <c r="Y143" s="288">
        <f t="shared" si="52"/>
        <v>0</v>
      </c>
      <c r="Z143" s="288">
        <f t="shared" si="52"/>
        <v>0</v>
      </c>
      <c r="AA143" s="288">
        <f t="shared" si="52"/>
        <v>0</v>
      </c>
      <c r="AB143" s="288">
        <f t="shared" si="52"/>
        <v>0</v>
      </c>
      <c r="AC143" s="288">
        <f t="shared" si="52"/>
        <v>0</v>
      </c>
      <c r="AD143" s="288">
        <f t="shared" si="52"/>
        <v>0</v>
      </c>
      <c r="AE143" s="288">
        <f t="shared" si="52"/>
        <v>0</v>
      </c>
      <c r="AF143" s="288">
        <f t="shared" si="52"/>
        <v>0</v>
      </c>
      <c r="AG143" s="288">
        <f t="shared" si="52"/>
        <v>0</v>
      </c>
      <c r="AH143" s="288">
        <f t="shared" si="52"/>
        <v>0</v>
      </c>
      <c r="AI143" s="288">
        <f t="shared" si="52"/>
        <v>0</v>
      </c>
      <c r="AJ143" s="288">
        <f t="shared" si="52"/>
        <v>0</v>
      </c>
      <c r="AK143" s="288">
        <f t="shared" si="52"/>
        <v>0</v>
      </c>
      <c r="AL143" s="288">
        <f t="shared" si="52"/>
        <v>0</v>
      </c>
      <c r="AM143" s="288">
        <f t="shared" si="52"/>
        <v>0</v>
      </c>
      <c r="AN143" s="288">
        <f t="shared" si="52"/>
        <v>0</v>
      </c>
      <c r="AO143" s="288">
        <f t="shared" si="52"/>
        <v>0</v>
      </c>
      <c r="AP143" s="288">
        <f t="shared" si="52"/>
        <v>0</v>
      </c>
      <c r="AQ143" s="288">
        <f t="shared" si="52"/>
        <v>0</v>
      </c>
      <c r="AR143" s="288">
        <f t="shared" si="52"/>
        <v>0</v>
      </c>
      <c r="AS143" s="288">
        <f t="shared" si="52"/>
        <v>0</v>
      </c>
      <c r="AT143" s="288">
        <f t="shared" si="52"/>
        <v>0</v>
      </c>
      <c r="AU143" s="288">
        <f t="shared" si="52"/>
        <v>0</v>
      </c>
      <c r="AV143" s="288">
        <f t="shared" si="52"/>
        <v>0</v>
      </c>
      <c r="AW143" s="288">
        <f t="shared" si="52"/>
        <v>0</v>
      </c>
      <c r="AX143" s="288">
        <f t="shared" si="52"/>
        <v>0</v>
      </c>
      <c r="AY143" s="288">
        <f t="shared" si="52"/>
        <v>0</v>
      </c>
      <c r="AZ143" s="288">
        <f t="shared" si="52"/>
        <v>0</v>
      </c>
      <c r="BA143" s="288">
        <f t="shared" si="52"/>
        <v>0</v>
      </c>
      <c r="BB143" s="288">
        <f t="shared" si="52"/>
        <v>0</v>
      </c>
      <c r="BC143" s="288">
        <f t="shared" si="52"/>
        <v>0</v>
      </c>
      <c r="BD143" s="288">
        <f t="shared" si="52"/>
        <v>0</v>
      </c>
      <c r="BE143" s="1305">
        <f t="shared" si="52"/>
        <v>0</v>
      </c>
    </row>
    <row r="144" spans="2:57" x14ac:dyDescent="0.25">
      <c r="B144" s="277" t="str">
        <f>B135</f>
        <v>Political Risk Insurance - Fees &amp; Annual Premium Payments</v>
      </c>
      <c r="C144" s="278"/>
      <c r="D144" s="278"/>
      <c r="E144" s="281"/>
      <c r="F144" s="281" t="s">
        <v>22</v>
      </c>
      <c r="G144" s="288"/>
      <c r="H144" s="288">
        <f>-H135</f>
        <v>0</v>
      </c>
      <c r="I144" s="288">
        <f t="shared" ref="I144:BE144" si="53">-I135</f>
        <v>0</v>
      </c>
      <c r="J144" s="288">
        <f t="shared" si="53"/>
        <v>0</v>
      </c>
      <c r="K144" s="288">
        <f t="shared" si="53"/>
        <v>0</v>
      </c>
      <c r="L144" s="288">
        <f t="shared" si="53"/>
        <v>0</v>
      </c>
      <c r="M144" s="288">
        <f t="shared" si="53"/>
        <v>0</v>
      </c>
      <c r="N144" s="288">
        <f t="shared" si="53"/>
        <v>0</v>
      </c>
      <c r="O144" s="288">
        <f t="shared" si="53"/>
        <v>0</v>
      </c>
      <c r="P144" s="288">
        <f t="shared" si="53"/>
        <v>0</v>
      </c>
      <c r="Q144" s="288">
        <f t="shared" si="53"/>
        <v>0</v>
      </c>
      <c r="R144" s="288">
        <f t="shared" si="53"/>
        <v>0</v>
      </c>
      <c r="S144" s="288">
        <f t="shared" si="53"/>
        <v>0</v>
      </c>
      <c r="T144" s="288">
        <f t="shared" si="53"/>
        <v>0</v>
      </c>
      <c r="U144" s="288">
        <f t="shared" si="53"/>
        <v>0</v>
      </c>
      <c r="V144" s="288">
        <f t="shared" si="53"/>
        <v>0</v>
      </c>
      <c r="W144" s="288">
        <f t="shared" si="53"/>
        <v>0</v>
      </c>
      <c r="X144" s="288">
        <f t="shared" si="53"/>
        <v>0</v>
      </c>
      <c r="Y144" s="288">
        <f t="shared" si="53"/>
        <v>0</v>
      </c>
      <c r="Z144" s="288">
        <f t="shared" si="53"/>
        <v>0</v>
      </c>
      <c r="AA144" s="288">
        <f t="shared" si="53"/>
        <v>0</v>
      </c>
      <c r="AB144" s="288">
        <f t="shared" si="53"/>
        <v>0</v>
      </c>
      <c r="AC144" s="288">
        <f t="shared" si="53"/>
        <v>0</v>
      </c>
      <c r="AD144" s="288">
        <f t="shared" si="53"/>
        <v>0</v>
      </c>
      <c r="AE144" s="288">
        <f t="shared" si="53"/>
        <v>0</v>
      </c>
      <c r="AF144" s="288">
        <f t="shared" si="53"/>
        <v>0</v>
      </c>
      <c r="AG144" s="288">
        <f t="shared" si="53"/>
        <v>0</v>
      </c>
      <c r="AH144" s="288">
        <f t="shared" si="53"/>
        <v>0</v>
      </c>
      <c r="AI144" s="288">
        <f t="shared" si="53"/>
        <v>0</v>
      </c>
      <c r="AJ144" s="288">
        <f t="shared" si="53"/>
        <v>0</v>
      </c>
      <c r="AK144" s="288">
        <f t="shared" si="53"/>
        <v>0</v>
      </c>
      <c r="AL144" s="288">
        <f t="shared" si="53"/>
        <v>0</v>
      </c>
      <c r="AM144" s="288">
        <f t="shared" si="53"/>
        <v>0</v>
      </c>
      <c r="AN144" s="288">
        <f t="shared" si="53"/>
        <v>0</v>
      </c>
      <c r="AO144" s="288">
        <f t="shared" si="53"/>
        <v>0</v>
      </c>
      <c r="AP144" s="288">
        <f t="shared" si="53"/>
        <v>0</v>
      </c>
      <c r="AQ144" s="288">
        <f t="shared" si="53"/>
        <v>0</v>
      </c>
      <c r="AR144" s="288">
        <f t="shared" si="53"/>
        <v>0</v>
      </c>
      <c r="AS144" s="288">
        <f t="shared" si="53"/>
        <v>0</v>
      </c>
      <c r="AT144" s="288">
        <f t="shared" si="53"/>
        <v>0</v>
      </c>
      <c r="AU144" s="288">
        <f t="shared" si="53"/>
        <v>0</v>
      </c>
      <c r="AV144" s="288">
        <f t="shared" si="53"/>
        <v>0</v>
      </c>
      <c r="AW144" s="288">
        <f t="shared" si="53"/>
        <v>0</v>
      </c>
      <c r="AX144" s="288">
        <f t="shared" si="53"/>
        <v>0</v>
      </c>
      <c r="AY144" s="288">
        <f t="shared" si="53"/>
        <v>0</v>
      </c>
      <c r="AZ144" s="288">
        <f t="shared" si="53"/>
        <v>0</v>
      </c>
      <c r="BA144" s="288">
        <f t="shared" si="53"/>
        <v>0</v>
      </c>
      <c r="BB144" s="288">
        <f t="shared" si="53"/>
        <v>0</v>
      </c>
      <c r="BC144" s="288">
        <f t="shared" si="53"/>
        <v>0</v>
      </c>
      <c r="BD144" s="288">
        <f t="shared" si="53"/>
        <v>0</v>
      </c>
      <c r="BE144" s="1305">
        <f t="shared" si="53"/>
        <v>0</v>
      </c>
    </row>
    <row r="145" spans="2:57" x14ac:dyDescent="0.25">
      <c r="B145" s="277" t="s">
        <v>102</v>
      </c>
      <c r="C145" s="278"/>
      <c r="D145" s="278"/>
      <c r="E145" s="281"/>
      <c r="F145" s="281" t="s">
        <v>22</v>
      </c>
      <c r="G145" s="288"/>
      <c r="H145" s="288">
        <f>-(H465+H486+H507)</f>
        <v>0</v>
      </c>
      <c r="I145" s="288">
        <f t="shared" ref="I145:BE145" si="54">-(I465+I486+I507)</f>
        <v>0</v>
      </c>
      <c r="J145" s="288">
        <f t="shared" si="54"/>
        <v>0</v>
      </c>
      <c r="K145" s="288">
        <f t="shared" si="54"/>
        <v>0</v>
      </c>
      <c r="L145" s="288">
        <f t="shared" si="54"/>
        <v>0</v>
      </c>
      <c r="M145" s="288">
        <f t="shared" si="54"/>
        <v>0</v>
      </c>
      <c r="N145" s="288">
        <f t="shared" si="54"/>
        <v>0</v>
      </c>
      <c r="O145" s="288">
        <f t="shared" si="54"/>
        <v>0</v>
      </c>
      <c r="P145" s="288">
        <f t="shared" si="54"/>
        <v>0</v>
      </c>
      <c r="Q145" s="288">
        <f t="shared" si="54"/>
        <v>0</v>
      </c>
      <c r="R145" s="288">
        <f t="shared" si="54"/>
        <v>0</v>
      </c>
      <c r="S145" s="288">
        <f t="shared" si="54"/>
        <v>0</v>
      </c>
      <c r="T145" s="288">
        <f t="shared" si="54"/>
        <v>0</v>
      </c>
      <c r="U145" s="288">
        <f t="shared" si="54"/>
        <v>0</v>
      </c>
      <c r="V145" s="288">
        <f t="shared" si="54"/>
        <v>0</v>
      </c>
      <c r="W145" s="288">
        <f t="shared" si="54"/>
        <v>0</v>
      </c>
      <c r="X145" s="288">
        <f t="shared" si="54"/>
        <v>0</v>
      </c>
      <c r="Y145" s="288">
        <f t="shared" si="54"/>
        <v>0</v>
      </c>
      <c r="Z145" s="288">
        <f t="shared" si="54"/>
        <v>0</v>
      </c>
      <c r="AA145" s="288">
        <f t="shared" si="54"/>
        <v>0</v>
      </c>
      <c r="AB145" s="288">
        <f t="shared" si="54"/>
        <v>0</v>
      </c>
      <c r="AC145" s="288">
        <f t="shared" si="54"/>
        <v>0</v>
      </c>
      <c r="AD145" s="288">
        <f t="shared" si="54"/>
        <v>0</v>
      </c>
      <c r="AE145" s="288">
        <f t="shared" si="54"/>
        <v>0</v>
      </c>
      <c r="AF145" s="288">
        <f t="shared" si="54"/>
        <v>0</v>
      </c>
      <c r="AG145" s="288">
        <f t="shared" si="54"/>
        <v>0</v>
      </c>
      <c r="AH145" s="288">
        <f t="shared" si="54"/>
        <v>0</v>
      </c>
      <c r="AI145" s="288">
        <f t="shared" si="54"/>
        <v>0</v>
      </c>
      <c r="AJ145" s="288">
        <f t="shared" si="54"/>
        <v>0</v>
      </c>
      <c r="AK145" s="288">
        <f t="shared" si="54"/>
        <v>0</v>
      </c>
      <c r="AL145" s="288">
        <f t="shared" si="54"/>
        <v>0</v>
      </c>
      <c r="AM145" s="288">
        <f t="shared" si="54"/>
        <v>0</v>
      </c>
      <c r="AN145" s="288">
        <f t="shared" si="54"/>
        <v>0</v>
      </c>
      <c r="AO145" s="288">
        <f t="shared" si="54"/>
        <v>0</v>
      </c>
      <c r="AP145" s="288">
        <f t="shared" si="54"/>
        <v>0</v>
      </c>
      <c r="AQ145" s="288">
        <f t="shared" si="54"/>
        <v>0</v>
      </c>
      <c r="AR145" s="288">
        <f t="shared" si="54"/>
        <v>0</v>
      </c>
      <c r="AS145" s="288">
        <f t="shared" si="54"/>
        <v>0</v>
      </c>
      <c r="AT145" s="288">
        <f t="shared" si="54"/>
        <v>0</v>
      </c>
      <c r="AU145" s="288">
        <f t="shared" si="54"/>
        <v>0</v>
      </c>
      <c r="AV145" s="288">
        <f t="shared" si="54"/>
        <v>0</v>
      </c>
      <c r="AW145" s="288">
        <f t="shared" si="54"/>
        <v>0</v>
      </c>
      <c r="AX145" s="288">
        <f t="shared" si="54"/>
        <v>0</v>
      </c>
      <c r="AY145" s="288">
        <f t="shared" si="54"/>
        <v>0</v>
      </c>
      <c r="AZ145" s="288">
        <f t="shared" si="54"/>
        <v>0</v>
      </c>
      <c r="BA145" s="288">
        <f t="shared" si="54"/>
        <v>0</v>
      </c>
      <c r="BB145" s="288">
        <f t="shared" si="54"/>
        <v>0</v>
      </c>
      <c r="BC145" s="288">
        <f t="shared" si="54"/>
        <v>0</v>
      </c>
      <c r="BD145" s="288">
        <f t="shared" si="54"/>
        <v>0</v>
      </c>
      <c r="BE145" s="1305">
        <f t="shared" si="54"/>
        <v>0</v>
      </c>
    </row>
    <row r="146" spans="2:57" x14ac:dyDescent="0.25">
      <c r="B146" s="290" t="s">
        <v>103</v>
      </c>
      <c r="C146" s="285"/>
      <c r="D146" s="285"/>
      <c r="E146" s="286"/>
      <c r="F146" s="286" t="s">
        <v>22</v>
      </c>
      <c r="G146" s="1306"/>
      <c r="H146" s="1306">
        <f>(H118+H126+H128+H133+H134+H135+H130+H131+H132)*'II. Inputs, Baseline Energy Mix'!$P$19</f>
        <v>0</v>
      </c>
      <c r="I146" s="1306">
        <f>(I118+I126+I128+I133+I134+I135+I130+I131+I132)*'II. Inputs, Baseline Energy Mix'!$P$19</f>
        <v>0</v>
      </c>
      <c r="J146" s="1306">
        <f>(J118+J126+J128+J133+J134+J135+J130+J131+J132)*'II. Inputs, Baseline Energy Mix'!$P$19</f>
        <v>0</v>
      </c>
      <c r="K146" s="1306">
        <f>(K118+K126+K128+K133+K134+K135+K130+K131+K132)*'II. Inputs, Baseline Energy Mix'!$P$19</f>
        <v>0</v>
      </c>
      <c r="L146" s="1306">
        <f>(L118+L126+L128+L133+L134+L135+L130+L131+L132)*'II. Inputs, Baseline Energy Mix'!$P$19</f>
        <v>0</v>
      </c>
      <c r="M146" s="1306">
        <f>(M118+M126+M128+M133+M134+M135+M130+M131+M132)*'II. Inputs, Baseline Energy Mix'!$P$19</f>
        <v>0</v>
      </c>
      <c r="N146" s="1306">
        <f>(N118+N126+N128+N133+N134+N135+N130+N131+N132)*'II. Inputs, Baseline Energy Mix'!$P$19</f>
        <v>0</v>
      </c>
      <c r="O146" s="1306">
        <f>(O118+O126+O128+O133+O134+O135+O130+O131+O132)*'II. Inputs, Baseline Energy Mix'!$P$19</f>
        <v>0</v>
      </c>
      <c r="P146" s="1306">
        <f>(P118+P126+P128+P133+P134+P135+P130+P131+P132)*'II. Inputs, Baseline Energy Mix'!$P$19</f>
        <v>0</v>
      </c>
      <c r="Q146" s="1306">
        <f>(Q118+Q126+Q128+Q133+Q134+Q135+Q130+Q131+Q132)*'II. Inputs, Baseline Energy Mix'!$P$19</f>
        <v>0</v>
      </c>
      <c r="R146" s="1306">
        <f>(R118+R126+R128+R133+R134+R135+R130+R131+R132)*'II. Inputs, Baseline Energy Mix'!$P$19</f>
        <v>0</v>
      </c>
      <c r="S146" s="1306">
        <f>(S118+S126+S128+S133+S134+S135+S130+S131+S132)*'II. Inputs, Baseline Energy Mix'!$P$19</f>
        <v>0</v>
      </c>
      <c r="T146" s="1306">
        <f>(T118+T126+T128+T133+T134+T135+T130+T131+T132)*'II. Inputs, Baseline Energy Mix'!$P$19</f>
        <v>0</v>
      </c>
      <c r="U146" s="1306">
        <f>(U118+U126+U128+U133+U134+U135+U130+U131+U132)*'II. Inputs, Baseline Energy Mix'!$P$19</f>
        <v>0</v>
      </c>
      <c r="V146" s="1306">
        <f>(V118+V126+V128+V133+V134+V135+V130+V131+V132)*'II. Inputs, Baseline Energy Mix'!$P$19</f>
        <v>0</v>
      </c>
      <c r="W146" s="1306">
        <f>(W118+W126+W128+W133+W134+W135+W130+W131+W132)*'II. Inputs, Baseline Energy Mix'!$P$19</f>
        <v>0</v>
      </c>
      <c r="X146" s="1306">
        <f>(X118+X126+X128+X133+X134+X135+X130+X131+X132)*'II. Inputs, Baseline Energy Mix'!$P$19</f>
        <v>0</v>
      </c>
      <c r="Y146" s="1306">
        <f>(Y118+Y126+Y128+Y133+Y134+Y135+Y130+Y131+Y132)*'II. Inputs, Baseline Energy Mix'!$P$19</f>
        <v>0</v>
      </c>
      <c r="Z146" s="1306">
        <f>(Z118+Z126+Z128+Z133+Z134+Z135+Z130+Z131+Z132)*'II. Inputs, Baseline Energy Mix'!$P$19</f>
        <v>0</v>
      </c>
      <c r="AA146" s="1306">
        <f>(AA118+AA126+AA128+AA133+AA134+AA135+AA130+AA131+AA132)*'II. Inputs, Baseline Energy Mix'!$P$19</f>
        <v>0</v>
      </c>
      <c r="AB146" s="1306">
        <f>(AB118+AB126+AB128+AB133+AB134+AB135+AB130+AB131+AB132)*'II. Inputs, Baseline Energy Mix'!$P$19</f>
        <v>0</v>
      </c>
      <c r="AC146" s="1306">
        <f>(AC118+AC126+AC128+AC133+AC134+AC135+AC130+AC131+AC132)*'II. Inputs, Baseline Energy Mix'!$P$19</f>
        <v>0</v>
      </c>
      <c r="AD146" s="1306">
        <f>(AD118+AD126+AD128+AD133+AD134+AD135+AD130+AD131+AD132)*'II. Inputs, Baseline Energy Mix'!$P$19</f>
        <v>0</v>
      </c>
      <c r="AE146" s="1306">
        <f>(AE118+AE126+AE128+AE133+AE134+AE135+AE130+AE131+AE132)*'II. Inputs, Baseline Energy Mix'!$P$19</f>
        <v>0</v>
      </c>
      <c r="AF146" s="1306">
        <f>(AF118+AF126+AF128+AF133+AF134+AF135+AF130+AF131+AF132)*'II. Inputs, Baseline Energy Mix'!$P$19</f>
        <v>0</v>
      </c>
      <c r="AG146" s="1306">
        <f>(AG118+AG126+AG128+AG133+AG134+AG135+AG130+AG131+AG132)*'II. Inputs, Baseline Energy Mix'!$P$19</f>
        <v>0</v>
      </c>
      <c r="AH146" s="1306">
        <f>(AH118+AH126+AH128+AH133+AH134+AH135+AH130+AH131+AH132)*'II. Inputs, Baseline Energy Mix'!$P$19</f>
        <v>0</v>
      </c>
      <c r="AI146" s="1306">
        <f>(AI118+AI126+AI128+AI133+AI134+AI135+AI130+AI131+AI132)*'II. Inputs, Baseline Energy Mix'!$P$19</f>
        <v>0</v>
      </c>
      <c r="AJ146" s="1306">
        <f>(AJ118+AJ126+AJ128+AJ133+AJ134+AJ135+AJ130+AJ131+AJ132)*'II. Inputs, Baseline Energy Mix'!$P$19</f>
        <v>0</v>
      </c>
      <c r="AK146" s="1306">
        <f>(AK118+AK126+AK128+AK133+AK134+AK135+AK130+AK131+AK132)*'II. Inputs, Baseline Energy Mix'!$P$19</f>
        <v>0</v>
      </c>
      <c r="AL146" s="1306">
        <f>(AL118+AL126+AL128+AL133+AL134+AL135+AL130+AL131+AL132)*'II. Inputs, Baseline Energy Mix'!$P$19</f>
        <v>0</v>
      </c>
      <c r="AM146" s="1306">
        <f>(AM118+AM126+AM128+AM133+AM134+AM135+AM130+AM131+AM132)*'II. Inputs, Baseline Energy Mix'!$P$19</f>
        <v>0</v>
      </c>
      <c r="AN146" s="1306">
        <f>(AN118+AN126+AN128+AN133+AN134+AN135+AN130+AN131+AN132)*'II. Inputs, Baseline Energy Mix'!$P$19</f>
        <v>0</v>
      </c>
      <c r="AO146" s="1306">
        <f>(AO118+AO126+AO128+AO133+AO134+AO135+AO130+AO131+AO132)*'II. Inputs, Baseline Energy Mix'!$P$19</f>
        <v>0</v>
      </c>
      <c r="AP146" s="1306">
        <f>(AP118+AP126+AP128+AP133+AP134+AP135+AP130+AP131+AP132)*'II. Inputs, Baseline Energy Mix'!$P$19</f>
        <v>0</v>
      </c>
      <c r="AQ146" s="1306">
        <f>(AQ118+AQ126+AQ128+AQ133+AQ134+AQ135+AQ130+AQ131+AQ132)*'II. Inputs, Baseline Energy Mix'!$P$19</f>
        <v>0</v>
      </c>
      <c r="AR146" s="1306">
        <f>(AR118+AR126+AR128+AR133+AR134+AR135+AR130+AR131+AR132)*'II. Inputs, Baseline Energy Mix'!$P$19</f>
        <v>0</v>
      </c>
      <c r="AS146" s="1306">
        <f>(AS118+AS126+AS128+AS133+AS134+AS135+AS130+AS131+AS132)*'II. Inputs, Baseline Energy Mix'!$P$19</f>
        <v>0</v>
      </c>
      <c r="AT146" s="1306">
        <f>(AT118+AT126+AT128+AT133+AT134+AT135+AT130+AT131+AT132)*'II. Inputs, Baseline Energy Mix'!$P$19</f>
        <v>0</v>
      </c>
      <c r="AU146" s="1306">
        <f>(AU118+AU126+AU128+AU133+AU134+AU135+AU130+AU131+AU132)*'II. Inputs, Baseline Energy Mix'!$P$19</f>
        <v>0</v>
      </c>
      <c r="AV146" s="1306">
        <f>(AV118+AV126+AV128+AV133+AV134+AV135+AV130+AV131+AV132)*'II. Inputs, Baseline Energy Mix'!$P$19</f>
        <v>0</v>
      </c>
      <c r="AW146" s="1306">
        <f>(AW118+AW126+AW128+AW133+AW134+AW135+AW130+AW131+AW132)*'II. Inputs, Baseline Energy Mix'!$P$19</f>
        <v>0</v>
      </c>
      <c r="AX146" s="1306">
        <f>(AX118+AX126+AX128+AX133+AX134+AX135+AX130+AX131+AX132)*'II. Inputs, Baseline Energy Mix'!$P$19</f>
        <v>0</v>
      </c>
      <c r="AY146" s="1306">
        <f>(AY118+AY126+AY128+AY133+AY134+AY135+AY130+AY131+AY132)*'II. Inputs, Baseline Energy Mix'!$P$19</f>
        <v>0</v>
      </c>
      <c r="AZ146" s="1306">
        <f>(AZ118+AZ126+AZ128+AZ133+AZ134+AZ135+AZ130+AZ131+AZ132)*'II. Inputs, Baseline Energy Mix'!$P$19</f>
        <v>0</v>
      </c>
      <c r="BA146" s="1306">
        <f>(BA118+BA126+BA128+BA133+BA134+BA135+BA130+BA131+BA132)*'II. Inputs, Baseline Energy Mix'!$P$19</f>
        <v>0</v>
      </c>
      <c r="BB146" s="1306">
        <f>(BB118+BB126+BB128+BB133+BB134+BB135+BB130+BB131+BB132)*'II. Inputs, Baseline Energy Mix'!$P$19</f>
        <v>0</v>
      </c>
      <c r="BC146" s="1306">
        <f>(BC118+BC126+BC128+BC133+BC134+BC135+BC130+BC131+BC132)*'II. Inputs, Baseline Energy Mix'!$P$19</f>
        <v>0</v>
      </c>
      <c r="BD146" s="1306">
        <f>(BD118+BD126+BD128+BD133+BD134+BD135+BD130+BD131+BD132)*'II. Inputs, Baseline Energy Mix'!$P$19</f>
        <v>0</v>
      </c>
      <c r="BE146" s="1307">
        <f>(BE118+BE126+BE128+BE133+BE134+BE135+BE130+BE131+BE132)*'II. Inputs, Baseline Energy Mix'!$P$19</f>
        <v>0</v>
      </c>
    </row>
    <row r="147" spans="2:57" x14ac:dyDescent="0.25">
      <c r="B147" s="277" t="s">
        <v>104</v>
      </c>
      <c r="C147" s="278"/>
      <c r="D147" s="278"/>
      <c r="E147" s="281"/>
      <c r="F147" s="281" t="s">
        <v>22</v>
      </c>
      <c r="G147" s="288">
        <f>-IF('II. Inputs, Baseline Energy Mix'!$P$15&gt;0, 'II. Inputs, Baseline Energy Mix'!$P$16*'II. Inputs, Baseline Energy Mix'!$P$17*'II. Inputs, Baseline Energy Mix'!$P$29,0)</f>
        <v>0</v>
      </c>
      <c r="H147" s="288">
        <f t="shared" ref="H147:AM147" si="55">SUM(H140:H146)</f>
        <v>0</v>
      </c>
      <c r="I147" s="288">
        <f t="shared" si="55"/>
        <v>0</v>
      </c>
      <c r="J147" s="288">
        <f t="shared" si="55"/>
        <v>0</v>
      </c>
      <c r="K147" s="288">
        <f t="shared" si="55"/>
        <v>0</v>
      </c>
      <c r="L147" s="288">
        <f t="shared" si="55"/>
        <v>0</v>
      </c>
      <c r="M147" s="288">
        <f t="shared" si="55"/>
        <v>0</v>
      </c>
      <c r="N147" s="288">
        <f t="shared" si="55"/>
        <v>0</v>
      </c>
      <c r="O147" s="288">
        <f t="shared" si="55"/>
        <v>0</v>
      </c>
      <c r="P147" s="288">
        <f t="shared" si="55"/>
        <v>0</v>
      </c>
      <c r="Q147" s="288">
        <f t="shared" si="55"/>
        <v>0</v>
      </c>
      <c r="R147" s="288">
        <f t="shared" si="55"/>
        <v>0</v>
      </c>
      <c r="S147" s="288">
        <f t="shared" si="55"/>
        <v>0</v>
      </c>
      <c r="T147" s="288">
        <f t="shared" si="55"/>
        <v>0</v>
      </c>
      <c r="U147" s="288">
        <f t="shared" si="55"/>
        <v>0</v>
      </c>
      <c r="V147" s="288">
        <f t="shared" si="55"/>
        <v>0</v>
      </c>
      <c r="W147" s="288">
        <f t="shared" si="55"/>
        <v>0</v>
      </c>
      <c r="X147" s="288">
        <f t="shared" si="55"/>
        <v>0</v>
      </c>
      <c r="Y147" s="288">
        <f t="shared" si="55"/>
        <v>0</v>
      </c>
      <c r="Z147" s="288">
        <f t="shared" si="55"/>
        <v>0</v>
      </c>
      <c r="AA147" s="288">
        <f t="shared" si="55"/>
        <v>0</v>
      </c>
      <c r="AB147" s="288">
        <f t="shared" si="55"/>
        <v>0</v>
      </c>
      <c r="AC147" s="288">
        <f t="shared" si="55"/>
        <v>0</v>
      </c>
      <c r="AD147" s="288">
        <f t="shared" si="55"/>
        <v>0</v>
      </c>
      <c r="AE147" s="288">
        <f t="shared" si="55"/>
        <v>0</v>
      </c>
      <c r="AF147" s="288">
        <f t="shared" si="55"/>
        <v>0</v>
      </c>
      <c r="AG147" s="288">
        <f t="shared" si="55"/>
        <v>0</v>
      </c>
      <c r="AH147" s="288">
        <f t="shared" si="55"/>
        <v>0</v>
      </c>
      <c r="AI147" s="288">
        <f t="shared" si="55"/>
        <v>0</v>
      </c>
      <c r="AJ147" s="288">
        <f t="shared" si="55"/>
        <v>0</v>
      </c>
      <c r="AK147" s="288">
        <f t="shared" si="55"/>
        <v>0</v>
      </c>
      <c r="AL147" s="288">
        <f t="shared" si="55"/>
        <v>0</v>
      </c>
      <c r="AM147" s="288">
        <f t="shared" si="55"/>
        <v>0</v>
      </c>
      <c r="AN147" s="288">
        <f t="shared" ref="AN147:BE147" si="56">SUM(AN140:AN146)</f>
        <v>0</v>
      </c>
      <c r="AO147" s="288">
        <f t="shared" si="56"/>
        <v>0</v>
      </c>
      <c r="AP147" s="288">
        <f t="shared" si="56"/>
        <v>0</v>
      </c>
      <c r="AQ147" s="288">
        <f t="shared" si="56"/>
        <v>0</v>
      </c>
      <c r="AR147" s="288">
        <f t="shared" si="56"/>
        <v>0</v>
      </c>
      <c r="AS147" s="288">
        <f t="shared" si="56"/>
        <v>0</v>
      </c>
      <c r="AT147" s="288">
        <f t="shared" si="56"/>
        <v>0</v>
      </c>
      <c r="AU147" s="288">
        <f t="shared" si="56"/>
        <v>0</v>
      </c>
      <c r="AV147" s="288">
        <f t="shared" si="56"/>
        <v>0</v>
      </c>
      <c r="AW147" s="288">
        <f t="shared" si="56"/>
        <v>0</v>
      </c>
      <c r="AX147" s="288">
        <f t="shared" si="56"/>
        <v>0</v>
      </c>
      <c r="AY147" s="288">
        <f t="shared" si="56"/>
        <v>0</v>
      </c>
      <c r="AZ147" s="288">
        <f t="shared" si="56"/>
        <v>0</v>
      </c>
      <c r="BA147" s="288">
        <f t="shared" si="56"/>
        <v>0</v>
      </c>
      <c r="BB147" s="288">
        <f t="shared" si="56"/>
        <v>0</v>
      </c>
      <c r="BC147" s="288">
        <f t="shared" si="56"/>
        <v>0</v>
      </c>
      <c r="BD147" s="288">
        <f t="shared" si="56"/>
        <v>0</v>
      </c>
      <c r="BE147" s="1305">
        <f t="shared" si="56"/>
        <v>0</v>
      </c>
    </row>
    <row r="148" spans="2:57" x14ac:dyDescent="0.25">
      <c r="B148" s="277"/>
      <c r="C148" s="278"/>
      <c r="D148" s="278"/>
      <c r="E148" s="281"/>
      <c r="F148" s="278"/>
      <c r="G148" s="278"/>
      <c r="H148" s="291"/>
      <c r="I148" s="291"/>
      <c r="J148" s="291"/>
      <c r="K148" s="291"/>
      <c r="L148" s="291"/>
      <c r="M148" s="291"/>
      <c r="N148" s="291"/>
      <c r="O148" s="291"/>
      <c r="P148" s="291"/>
      <c r="Q148" s="291"/>
      <c r="R148" s="291"/>
      <c r="S148" s="291"/>
      <c r="T148" s="291"/>
      <c r="U148" s="291"/>
      <c r="V148" s="291"/>
      <c r="W148" s="291"/>
      <c r="X148" s="291"/>
      <c r="Y148" s="291"/>
      <c r="Z148" s="291"/>
      <c r="AA148" s="291"/>
      <c r="AB148" s="291"/>
      <c r="AC148" s="291"/>
      <c r="AD148" s="291"/>
      <c r="AE148" s="291"/>
      <c r="AF148" s="291"/>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2"/>
    </row>
    <row r="149" spans="2:57" x14ac:dyDescent="0.25">
      <c r="B149" s="277" t="s">
        <v>105</v>
      </c>
      <c r="C149" s="278"/>
      <c r="D149" s="278"/>
      <c r="E149" s="281"/>
      <c r="F149" s="278"/>
      <c r="G149" s="1101">
        <f>'II. Inputs, Baseline Energy Mix'!$P$37</f>
        <v>0.153</v>
      </c>
      <c r="H149" s="278"/>
      <c r="I149" s="28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9"/>
    </row>
    <row r="150" spans="2:57" x14ac:dyDescent="0.25">
      <c r="B150" s="277" t="s">
        <v>106</v>
      </c>
      <c r="C150" s="278"/>
      <c r="D150" s="278"/>
      <c r="E150" s="281"/>
      <c r="F150" s="278"/>
      <c r="G150" s="1308">
        <f>IF(G149="NA", "NA", NPV(G149,H147:BE147)+G147)</f>
        <v>0</v>
      </c>
      <c r="H150" s="278"/>
      <c r="I150" s="28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9"/>
    </row>
    <row r="151" spans="2:57" x14ac:dyDescent="0.25">
      <c r="B151" s="277" t="s">
        <v>107</v>
      </c>
      <c r="C151" s="278"/>
      <c r="D151" s="278"/>
      <c r="E151" s="281"/>
      <c r="F151" s="278"/>
      <c r="G151" s="1308">
        <f>IF(G149="NA", "NA", -NPV(G149,H114:BE114))</f>
        <v>0</v>
      </c>
      <c r="H151" s="278"/>
      <c r="I151" s="28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278"/>
      <c r="BD151" s="278"/>
      <c r="BE151" s="279"/>
    </row>
    <row r="152" spans="2:57" ht="13.8" thickBot="1" x14ac:dyDescent="0.3">
      <c r="B152" s="277" t="s">
        <v>108</v>
      </c>
      <c r="C152" s="278"/>
      <c r="D152" s="278"/>
      <c r="E152" s="281"/>
      <c r="F152" s="281" t="s">
        <v>625</v>
      </c>
      <c r="G152" s="1309" t="str">
        <f>IF(OR(G151=0,G149="NA"), "NA", G150/G151)</f>
        <v>NA</v>
      </c>
      <c r="H152" s="278"/>
      <c r="I152" s="28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9"/>
    </row>
    <row r="153" spans="2:57" ht="13.8" thickBot="1" x14ac:dyDescent="0.3">
      <c r="B153" s="293" t="s">
        <v>109</v>
      </c>
      <c r="C153" s="294"/>
      <c r="D153" s="294"/>
      <c r="E153" s="295"/>
      <c r="F153" s="295" t="s">
        <v>626</v>
      </c>
      <c r="G153" s="1310" t="str">
        <f>IF(G152="NA", "NA", $G$152/(1-'II. Inputs, Baseline Energy Mix'!$P$19))</f>
        <v>NA</v>
      </c>
      <c r="H153" s="278"/>
      <c r="I153" s="28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9"/>
    </row>
    <row r="154" spans="2:57" ht="13.8" thickBot="1" x14ac:dyDescent="0.3">
      <c r="B154" s="296"/>
      <c r="C154" s="297"/>
      <c r="D154" s="297"/>
      <c r="E154" s="297"/>
      <c r="F154" s="297"/>
      <c r="G154" s="297"/>
      <c r="H154" s="297"/>
      <c r="I154" s="298"/>
      <c r="J154" s="297"/>
      <c r="K154" s="297"/>
      <c r="L154" s="297"/>
      <c r="M154" s="297"/>
      <c r="N154" s="297"/>
      <c r="O154" s="297"/>
      <c r="P154" s="297"/>
      <c r="Q154" s="297"/>
      <c r="R154" s="297"/>
      <c r="S154" s="297"/>
      <c r="T154" s="297"/>
      <c r="U154" s="297"/>
      <c r="V154" s="297"/>
      <c r="W154" s="297"/>
      <c r="X154" s="297"/>
      <c r="Y154" s="297"/>
      <c r="Z154" s="297"/>
      <c r="AA154" s="297"/>
      <c r="AB154" s="297"/>
      <c r="AC154" s="297"/>
      <c r="AD154" s="297"/>
      <c r="AE154" s="297"/>
      <c r="AF154" s="297"/>
      <c r="AG154" s="297"/>
      <c r="AH154" s="297"/>
      <c r="AI154" s="297"/>
      <c r="AJ154" s="297"/>
      <c r="AK154" s="297"/>
      <c r="AL154" s="297"/>
      <c r="AM154" s="297"/>
      <c r="AN154" s="297"/>
      <c r="AO154" s="297"/>
      <c r="AP154" s="297"/>
      <c r="AQ154" s="297"/>
      <c r="AR154" s="297"/>
      <c r="AS154" s="297"/>
      <c r="AT154" s="297"/>
      <c r="AU154" s="297"/>
      <c r="AV154" s="297"/>
      <c r="AW154" s="297"/>
      <c r="AX154" s="297"/>
      <c r="AY154" s="297"/>
      <c r="AZ154" s="297"/>
      <c r="BA154" s="297"/>
      <c r="BB154" s="297"/>
      <c r="BC154" s="297"/>
      <c r="BD154" s="297"/>
      <c r="BE154" s="299"/>
    </row>
    <row r="155" spans="2:57" ht="13.8" thickBot="1" x14ac:dyDescent="0.3">
      <c r="I155" s="249"/>
    </row>
    <row r="156" spans="2:57" s="36" customFormat="1" x14ac:dyDescent="0.25">
      <c r="B156" s="300" t="s">
        <v>165</v>
      </c>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2"/>
    </row>
    <row r="157" spans="2:57" x14ac:dyDescent="0.25">
      <c r="B157" s="303"/>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5"/>
    </row>
    <row r="158" spans="2:57" x14ac:dyDescent="0.25">
      <c r="B158" s="303" t="s">
        <v>136</v>
      </c>
      <c r="C158" s="304"/>
      <c r="D158" s="304"/>
      <c r="E158" s="304"/>
      <c r="F158" s="304"/>
      <c r="G158" s="304"/>
      <c r="H158" s="306">
        <f>IF(H$13&gt;'II. Inputs, Baseline Energy Mix'!$Q$18,0,1)</f>
        <v>1</v>
      </c>
      <c r="I158" s="304">
        <f>IF(I$13&gt;'II. Inputs, Baseline Energy Mix'!$Q$18,0,1)</f>
        <v>1</v>
      </c>
      <c r="J158" s="304">
        <f>IF(J$13&gt;'II. Inputs, Baseline Energy Mix'!$Q$18,0,1)</f>
        <v>1</v>
      </c>
      <c r="K158" s="304">
        <f>IF(K$13&gt;'II. Inputs, Baseline Energy Mix'!$Q$18,0,1)</f>
        <v>1</v>
      </c>
      <c r="L158" s="304">
        <f>IF(L$13&gt;'II. Inputs, Baseline Energy Mix'!$Q$18,0,1)</f>
        <v>1</v>
      </c>
      <c r="M158" s="304">
        <f>IF(M$13&gt;'II. Inputs, Baseline Energy Mix'!$Q$18,0,1)</f>
        <v>1</v>
      </c>
      <c r="N158" s="304">
        <f>IF(N$13&gt;'II. Inputs, Baseline Energy Mix'!$Q$18,0,1)</f>
        <v>1</v>
      </c>
      <c r="O158" s="304">
        <f>IF(O$13&gt;'II. Inputs, Baseline Energy Mix'!$Q$18,0,1)</f>
        <v>1</v>
      </c>
      <c r="P158" s="304">
        <f>IF(P$13&gt;'II. Inputs, Baseline Energy Mix'!$Q$18,0,1)</f>
        <v>1</v>
      </c>
      <c r="Q158" s="304">
        <f>IF(Q$13&gt;'II. Inputs, Baseline Energy Mix'!$Q$18,0,1)</f>
        <v>1</v>
      </c>
      <c r="R158" s="304">
        <f>IF(R$13&gt;'II. Inputs, Baseline Energy Mix'!$Q$18,0,1)</f>
        <v>1</v>
      </c>
      <c r="S158" s="304">
        <f>IF(S$13&gt;'II. Inputs, Baseline Energy Mix'!$Q$18,0,1)</f>
        <v>1</v>
      </c>
      <c r="T158" s="304">
        <f>IF(T$13&gt;'II. Inputs, Baseline Energy Mix'!$Q$18,0,1)</f>
        <v>1</v>
      </c>
      <c r="U158" s="304">
        <f>IF(U$13&gt;'II. Inputs, Baseline Energy Mix'!$Q$18,0,1)</f>
        <v>1</v>
      </c>
      <c r="V158" s="304">
        <f>IF(V$13&gt;'II. Inputs, Baseline Energy Mix'!$Q$18,0,1)</f>
        <v>1</v>
      </c>
      <c r="W158" s="304">
        <f>IF(W$13&gt;'II. Inputs, Baseline Energy Mix'!$Q$18,0,1)</f>
        <v>1</v>
      </c>
      <c r="X158" s="304">
        <f>IF(X$13&gt;'II. Inputs, Baseline Energy Mix'!$Q$18,0,1)</f>
        <v>1</v>
      </c>
      <c r="Y158" s="304">
        <f>IF(Y$13&gt;'II. Inputs, Baseline Energy Mix'!$Q$18,0,1)</f>
        <v>1</v>
      </c>
      <c r="Z158" s="304">
        <f>IF(Z$13&gt;'II. Inputs, Baseline Energy Mix'!$Q$18,0,1)</f>
        <v>1</v>
      </c>
      <c r="AA158" s="304">
        <f>IF(AA$13&gt;'II. Inputs, Baseline Energy Mix'!$Q$18,0,1)</f>
        <v>1</v>
      </c>
      <c r="AB158" s="304">
        <f>IF(AB$13&gt;'II. Inputs, Baseline Energy Mix'!$Q$18,0,1)</f>
        <v>1</v>
      </c>
      <c r="AC158" s="304">
        <f>IF(AC$13&gt;'II. Inputs, Baseline Energy Mix'!$Q$18,0,1)</f>
        <v>1</v>
      </c>
      <c r="AD158" s="304">
        <f>IF(AD$13&gt;'II. Inputs, Baseline Energy Mix'!$Q$18,0,1)</f>
        <v>1</v>
      </c>
      <c r="AE158" s="304">
        <f>IF(AE$13&gt;'II. Inputs, Baseline Energy Mix'!$Q$18,0,1)</f>
        <v>1</v>
      </c>
      <c r="AF158" s="304">
        <f>IF(AF$13&gt;'II. Inputs, Baseline Energy Mix'!$Q$18,0,1)</f>
        <v>1</v>
      </c>
      <c r="AG158" s="304">
        <f>IF(AG$13&gt;'II. Inputs, Baseline Energy Mix'!$Q$18,0,1)</f>
        <v>0</v>
      </c>
      <c r="AH158" s="304">
        <f>IF(AH$13&gt;'II. Inputs, Baseline Energy Mix'!$Q$18,0,1)</f>
        <v>0</v>
      </c>
      <c r="AI158" s="304">
        <f>IF(AI$13&gt;'II. Inputs, Baseline Energy Mix'!$Q$18,0,1)</f>
        <v>0</v>
      </c>
      <c r="AJ158" s="304">
        <f>IF(AJ$13&gt;'II. Inputs, Baseline Energy Mix'!$Q$18,0,1)</f>
        <v>0</v>
      </c>
      <c r="AK158" s="304">
        <f>IF(AK$13&gt;'II. Inputs, Baseline Energy Mix'!$Q$18,0,1)</f>
        <v>0</v>
      </c>
      <c r="AL158" s="304">
        <f>IF(AL$13&gt;'II. Inputs, Baseline Energy Mix'!$Q$18,0,1)</f>
        <v>0</v>
      </c>
      <c r="AM158" s="304">
        <f>IF(AM$13&gt;'II. Inputs, Baseline Energy Mix'!$Q$18,0,1)</f>
        <v>0</v>
      </c>
      <c r="AN158" s="304">
        <f>IF(AN$13&gt;'II. Inputs, Baseline Energy Mix'!$Q$18,0,1)</f>
        <v>0</v>
      </c>
      <c r="AO158" s="304">
        <f>IF(AO$13&gt;'II. Inputs, Baseline Energy Mix'!$Q$18,0,1)</f>
        <v>0</v>
      </c>
      <c r="AP158" s="304">
        <f>IF(AP$13&gt;'II. Inputs, Baseline Energy Mix'!$Q$18,0,1)</f>
        <v>0</v>
      </c>
      <c r="AQ158" s="304">
        <f>IF(AQ$13&gt;'II. Inputs, Baseline Energy Mix'!$Q$18,0,1)</f>
        <v>0</v>
      </c>
      <c r="AR158" s="304">
        <f>IF(AR$13&gt;'II. Inputs, Baseline Energy Mix'!$Q$18,0,1)</f>
        <v>0</v>
      </c>
      <c r="AS158" s="304">
        <f>IF(AS$13&gt;'II. Inputs, Baseline Energy Mix'!$Q$18,0,1)</f>
        <v>0</v>
      </c>
      <c r="AT158" s="304">
        <f>IF(AT$13&gt;'II. Inputs, Baseline Energy Mix'!$Q$18,0,1)</f>
        <v>0</v>
      </c>
      <c r="AU158" s="304">
        <f>IF(AU$13&gt;'II. Inputs, Baseline Energy Mix'!$Q$18,0,1)</f>
        <v>0</v>
      </c>
      <c r="AV158" s="304">
        <f>IF(AV$13&gt;'II. Inputs, Baseline Energy Mix'!$Q$18,0,1)</f>
        <v>0</v>
      </c>
      <c r="AW158" s="304">
        <f>IF(AW$13&gt;'II. Inputs, Baseline Energy Mix'!$Q$18,0,1)</f>
        <v>0</v>
      </c>
      <c r="AX158" s="304">
        <f>IF(AX$13&gt;'II. Inputs, Baseline Energy Mix'!$Q$18,0,1)</f>
        <v>0</v>
      </c>
      <c r="AY158" s="304">
        <f>IF(AY$13&gt;'II. Inputs, Baseline Energy Mix'!$Q$18,0,1)</f>
        <v>0</v>
      </c>
      <c r="AZ158" s="304">
        <f>IF(AZ$13&gt;'II. Inputs, Baseline Energy Mix'!$Q$18,0,1)</f>
        <v>0</v>
      </c>
      <c r="BA158" s="304">
        <f>IF(BA$13&gt;'II. Inputs, Baseline Energy Mix'!$Q$18,0,1)</f>
        <v>0</v>
      </c>
      <c r="BB158" s="304">
        <f>IF(BB$13&gt;'II. Inputs, Baseline Energy Mix'!$Q$18,0,1)</f>
        <v>0</v>
      </c>
      <c r="BC158" s="304">
        <f>IF(BC$13&gt;'II. Inputs, Baseline Energy Mix'!$Q$18,0,1)</f>
        <v>0</v>
      </c>
      <c r="BD158" s="304">
        <f>IF(BD$13&gt;'II. Inputs, Baseline Energy Mix'!$Q$18,0,1)</f>
        <v>0</v>
      </c>
      <c r="BE158" s="305">
        <f>IF(BE$13&gt;'II. Inputs, Baseline Energy Mix'!$Q$18,0,1)</f>
        <v>0</v>
      </c>
    </row>
    <row r="159" spans="2:57" x14ac:dyDescent="0.25">
      <c r="B159" s="303"/>
      <c r="C159" s="304"/>
      <c r="D159" s="304"/>
      <c r="E159" s="304"/>
      <c r="F159" s="304"/>
      <c r="G159" s="304"/>
      <c r="H159" s="306"/>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304"/>
      <c r="AS159" s="304"/>
      <c r="AT159" s="304"/>
      <c r="AU159" s="304"/>
      <c r="AV159" s="304"/>
      <c r="AW159" s="304"/>
      <c r="AX159" s="304"/>
      <c r="AY159" s="304"/>
      <c r="AZ159" s="304"/>
      <c r="BA159" s="304"/>
      <c r="BB159" s="304"/>
      <c r="BC159" s="304"/>
      <c r="BD159" s="304"/>
      <c r="BE159" s="305"/>
    </row>
    <row r="160" spans="2:57" x14ac:dyDescent="0.25">
      <c r="B160" s="303" t="s">
        <v>97</v>
      </c>
      <c r="C160" s="304"/>
      <c r="D160" s="304"/>
      <c r="E160" s="304"/>
      <c r="F160" s="307" t="s">
        <v>98</v>
      </c>
      <c r="G160" s="304"/>
      <c r="H160" s="308">
        <f>IF('II. Inputs, Baseline Energy Mix'!$Q$15=0,0,'II. Inputs, Baseline Energy Mix'!$Q$92*'II. Inputs, Baseline Energy Mix'!$Q$16*H158)</f>
        <v>0</v>
      </c>
      <c r="I160" s="308">
        <f>IF('II. Inputs, Baseline Energy Mix'!$Q$15=0,0,'II. Inputs, Baseline Energy Mix'!$Q$92*'II. Inputs, Baseline Energy Mix'!$Q$16*I158)</f>
        <v>0</v>
      </c>
      <c r="J160" s="308">
        <f>IF('II. Inputs, Baseline Energy Mix'!$Q$15=0,0,'II. Inputs, Baseline Energy Mix'!$Q$92*'II. Inputs, Baseline Energy Mix'!$Q$16*J158)</f>
        <v>0</v>
      </c>
      <c r="K160" s="308">
        <f>IF('II. Inputs, Baseline Energy Mix'!$Q$15=0,0,'II. Inputs, Baseline Energy Mix'!$Q$92*'II. Inputs, Baseline Energy Mix'!$Q$16*K158)</f>
        <v>0</v>
      </c>
      <c r="L160" s="308">
        <f>IF('II. Inputs, Baseline Energy Mix'!$Q$15=0,0,'II. Inputs, Baseline Energy Mix'!$Q$92*'II. Inputs, Baseline Energy Mix'!$Q$16*L158)</f>
        <v>0</v>
      </c>
      <c r="M160" s="308">
        <f>IF('II. Inputs, Baseline Energy Mix'!$Q$15=0,0,'II. Inputs, Baseline Energy Mix'!$Q$92*'II. Inputs, Baseline Energy Mix'!$Q$16*M158)</f>
        <v>0</v>
      </c>
      <c r="N160" s="308">
        <f>IF('II. Inputs, Baseline Energy Mix'!$Q$15=0,0,'II. Inputs, Baseline Energy Mix'!$Q$92*'II. Inputs, Baseline Energy Mix'!$Q$16*N158)</f>
        <v>0</v>
      </c>
      <c r="O160" s="308">
        <f>IF('II. Inputs, Baseline Energy Mix'!$Q$15=0,0,'II. Inputs, Baseline Energy Mix'!$Q$92*'II. Inputs, Baseline Energy Mix'!$Q$16*O158)</f>
        <v>0</v>
      </c>
      <c r="P160" s="308">
        <f>IF('II. Inputs, Baseline Energy Mix'!$Q$15=0,0,'II. Inputs, Baseline Energy Mix'!$Q$92*'II. Inputs, Baseline Energy Mix'!$Q$16*P158)</f>
        <v>0</v>
      </c>
      <c r="Q160" s="308">
        <f>IF('II. Inputs, Baseline Energy Mix'!$Q$15=0,0,'II. Inputs, Baseline Energy Mix'!$Q$92*'II. Inputs, Baseline Energy Mix'!$Q$16*Q158)</f>
        <v>0</v>
      </c>
      <c r="R160" s="308">
        <f>IF('II. Inputs, Baseline Energy Mix'!$Q$15=0,0,'II. Inputs, Baseline Energy Mix'!$Q$92*'II. Inputs, Baseline Energy Mix'!$Q$16*R158)</f>
        <v>0</v>
      </c>
      <c r="S160" s="308">
        <f>IF('II. Inputs, Baseline Energy Mix'!$Q$15=0,0,'II. Inputs, Baseline Energy Mix'!$Q$92*'II. Inputs, Baseline Energy Mix'!$Q$16*S158)</f>
        <v>0</v>
      </c>
      <c r="T160" s="308">
        <f>IF('II. Inputs, Baseline Energy Mix'!$Q$15=0,0,'II. Inputs, Baseline Energy Mix'!$Q$92*'II. Inputs, Baseline Energy Mix'!$Q$16*T158)</f>
        <v>0</v>
      </c>
      <c r="U160" s="308">
        <f>IF('II. Inputs, Baseline Energy Mix'!$Q$15=0,0,'II. Inputs, Baseline Energy Mix'!$Q$92*'II. Inputs, Baseline Energy Mix'!$Q$16*U158)</f>
        <v>0</v>
      </c>
      <c r="V160" s="308">
        <f>IF('II. Inputs, Baseline Energy Mix'!$Q$15=0,0,'II. Inputs, Baseline Energy Mix'!$Q$92*'II. Inputs, Baseline Energy Mix'!$Q$16*V158)</f>
        <v>0</v>
      </c>
      <c r="W160" s="308">
        <f>IF('II. Inputs, Baseline Energy Mix'!$Q$15=0,0,'II. Inputs, Baseline Energy Mix'!$Q$92*'II. Inputs, Baseline Energy Mix'!$Q$16*W158)</f>
        <v>0</v>
      </c>
      <c r="X160" s="308">
        <f>IF('II. Inputs, Baseline Energy Mix'!$Q$15=0,0,'II. Inputs, Baseline Energy Mix'!$Q$92*'II. Inputs, Baseline Energy Mix'!$Q$16*X158)</f>
        <v>0</v>
      </c>
      <c r="Y160" s="308">
        <f>IF('II. Inputs, Baseline Energy Mix'!$Q$15=0,0,'II. Inputs, Baseline Energy Mix'!$Q$92*'II. Inputs, Baseline Energy Mix'!$Q$16*Y158)</f>
        <v>0</v>
      </c>
      <c r="Z160" s="308">
        <f>IF('II. Inputs, Baseline Energy Mix'!$Q$15=0,0,'II. Inputs, Baseline Energy Mix'!$Q$92*'II. Inputs, Baseline Energy Mix'!$Q$16*Z158)</f>
        <v>0</v>
      </c>
      <c r="AA160" s="308">
        <f>IF('II. Inputs, Baseline Energy Mix'!$Q$15=0,0,'II. Inputs, Baseline Energy Mix'!$Q$92*'II. Inputs, Baseline Energy Mix'!$Q$16*AA158)</f>
        <v>0</v>
      </c>
      <c r="AB160" s="308">
        <f>IF('II. Inputs, Baseline Energy Mix'!$Q$15=0,0,'II. Inputs, Baseline Energy Mix'!$Q$92*'II. Inputs, Baseline Energy Mix'!$Q$16*AB158)</f>
        <v>0</v>
      </c>
      <c r="AC160" s="308">
        <f>IF('II. Inputs, Baseline Energy Mix'!$Q$15=0,0,'II. Inputs, Baseline Energy Mix'!$Q$92*'II. Inputs, Baseline Energy Mix'!$Q$16*AC158)</f>
        <v>0</v>
      </c>
      <c r="AD160" s="308">
        <f>IF('II. Inputs, Baseline Energy Mix'!$Q$15=0,0,'II. Inputs, Baseline Energy Mix'!$Q$92*'II. Inputs, Baseline Energy Mix'!$Q$16*AD158)</f>
        <v>0</v>
      </c>
      <c r="AE160" s="308">
        <f>IF('II. Inputs, Baseline Energy Mix'!$Q$15=0,0,'II. Inputs, Baseline Energy Mix'!$Q$92*'II. Inputs, Baseline Energy Mix'!$Q$16*AE158)</f>
        <v>0</v>
      </c>
      <c r="AF160" s="308">
        <f>IF('II. Inputs, Baseline Energy Mix'!$Q$15=0,0,'II. Inputs, Baseline Energy Mix'!$Q$92*'II. Inputs, Baseline Energy Mix'!$Q$16*AF158)</f>
        <v>0</v>
      </c>
      <c r="AG160" s="308">
        <f>IF('II. Inputs, Baseline Energy Mix'!$Q$15=0,0,'II. Inputs, Baseline Energy Mix'!$Q$92*'II. Inputs, Baseline Energy Mix'!$Q$16*AG158)</f>
        <v>0</v>
      </c>
      <c r="AH160" s="308">
        <f>IF('II. Inputs, Baseline Energy Mix'!$Q$15=0,0,'II. Inputs, Baseline Energy Mix'!$Q$92*'II. Inputs, Baseline Energy Mix'!$Q$16*AH158)</f>
        <v>0</v>
      </c>
      <c r="AI160" s="308">
        <f>IF('II. Inputs, Baseline Energy Mix'!$Q$15=0,0,'II. Inputs, Baseline Energy Mix'!$Q$92*'II. Inputs, Baseline Energy Mix'!$Q$16*AI158)</f>
        <v>0</v>
      </c>
      <c r="AJ160" s="308">
        <f>IF('II. Inputs, Baseline Energy Mix'!$Q$15=0,0,'II. Inputs, Baseline Energy Mix'!$Q$92*'II. Inputs, Baseline Energy Mix'!$Q$16*AJ158)</f>
        <v>0</v>
      </c>
      <c r="AK160" s="308">
        <f>IF('II. Inputs, Baseline Energy Mix'!$Q$15=0,0,'II. Inputs, Baseline Energy Mix'!$Q$92*'II. Inputs, Baseline Energy Mix'!$Q$16*AK158)</f>
        <v>0</v>
      </c>
      <c r="AL160" s="308">
        <f>IF('II. Inputs, Baseline Energy Mix'!$Q$15=0,0,'II. Inputs, Baseline Energy Mix'!$Q$92*'II. Inputs, Baseline Energy Mix'!$Q$16*AL158)</f>
        <v>0</v>
      </c>
      <c r="AM160" s="308">
        <f>IF('II. Inputs, Baseline Energy Mix'!$Q$15=0,0,'II. Inputs, Baseline Energy Mix'!$Q$92*'II. Inputs, Baseline Energy Mix'!$Q$16*AM158)</f>
        <v>0</v>
      </c>
      <c r="AN160" s="308">
        <f>IF('II. Inputs, Baseline Energy Mix'!$Q$15=0,0,'II. Inputs, Baseline Energy Mix'!$Q$92*'II. Inputs, Baseline Energy Mix'!$Q$16*AN158)</f>
        <v>0</v>
      </c>
      <c r="AO160" s="308">
        <f>IF('II. Inputs, Baseline Energy Mix'!$Q$15=0,0,'II. Inputs, Baseline Energy Mix'!$Q$92*'II. Inputs, Baseline Energy Mix'!$Q$16*AO158)</f>
        <v>0</v>
      </c>
      <c r="AP160" s="308">
        <f>IF('II. Inputs, Baseline Energy Mix'!$Q$15=0,0,'II. Inputs, Baseline Energy Mix'!$Q$92*'II. Inputs, Baseline Energy Mix'!$Q$16*AP158)</f>
        <v>0</v>
      </c>
      <c r="AQ160" s="308">
        <f>IF('II. Inputs, Baseline Energy Mix'!$Q$15=0,0,'II. Inputs, Baseline Energy Mix'!$Q$92*'II. Inputs, Baseline Energy Mix'!$Q$16*AQ158)</f>
        <v>0</v>
      </c>
      <c r="AR160" s="308">
        <f>IF('II. Inputs, Baseline Energy Mix'!$Q$15=0,0,'II. Inputs, Baseline Energy Mix'!$Q$92*'II. Inputs, Baseline Energy Mix'!$Q$16*AR158)</f>
        <v>0</v>
      </c>
      <c r="AS160" s="308">
        <f>IF('II. Inputs, Baseline Energy Mix'!$Q$15=0,0,'II. Inputs, Baseline Energy Mix'!$Q$92*'II. Inputs, Baseline Energy Mix'!$Q$16*AS158)</f>
        <v>0</v>
      </c>
      <c r="AT160" s="308">
        <f>IF('II. Inputs, Baseline Energy Mix'!$Q$15=0,0,'II. Inputs, Baseline Energy Mix'!$Q$92*'II. Inputs, Baseline Energy Mix'!$Q$16*AT158)</f>
        <v>0</v>
      </c>
      <c r="AU160" s="308">
        <f>IF('II. Inputs, Baseline Energy Mix'!$Q$15=0,0,'II. Inputs, Baseline Energy Mix'!$Q$92*'II. Inputs, Baseline Energy Mix'!$Q$16*AU158)</f>
        <v>0</v>
      </c>
      <c r="AV160" s="308">
        <f>IF('II. Inputs, Baseline Energy Mix'!$Q$15=0,0,'II. Inputs, Baseline Energy Mix'!$Q$92*'II. Inputs, Baseline Energy Mix'!$Q$16*AV158)</f>
        <v>0</v>
      </c>
      <c r="AW160" s="308">
        <f>IF('II. Inputs, Baseline Energy Mix'!$Q$15=0,0,'II. Inputs, Baseline Energy Mix'!$Q$92*'II. Inputs, Baseline Energy Mix'!$Q$16*AW158)</f>
        <v>0</v>
      </c>
      <c r="AX160" s="308">
        <f>IF('II. Inputs, Baseline Energy Mix'!$Q$15=0,0,'II. Inputs, Baseline Energy Mix'!$Q$92*'II. Inputs, Baseline Energy Mix'!$Q$16*AX158)</f>
        <v>0</v>
      </c>
      <c r="AY160" s="308">
        <f>IF('II. Inputs, Baseline Energy Mix'!$Q$15=0,0,'II. Inputs, Baseline Energy Mix'!$Q$92*'II. Inputs, Baseline Energy Mix'!$Q$16*AY158)</f>
        <v>0</v>
      </c>
      <c r="AZ160" s="308">
        <f>IF('II. Inputs, Baseline Energy Mix'!$Q$15=0,0,'II. Inputs, Baseline Energy Mix'!$Q$92*'II. Inputs, Baseline Energy Mix'!$Q$16*AZ158)</f>
        <v>0</v>
      </c>
      <c r="BA160" s="308">
        <f>IF('II. Inputs, Baseline Energy Mix'!$Q$15=0,0,'II. Inputs, Baseline Energy Mix'!$Q$92*'II. Inputs, Baseline Energy Mix'!$Q$16*BA158)</f>
        <v>0</v>
      </c>
      <c r="BB160" s="308">
        <f>IF('II. Inputs, Baseline Energy Mix'!$Q$15=0,0,'II. Inputs, Baseline Energy Mix'!$Q$92*'II. Inputs, Baseline Energy Mix'!$Q$16*BB158)</f>
        <v>0</v>
      </c>
      <c r="BC160" s="308">
        <f>IF('II. Inputs, Baseline Energy Mix'!$Q$15=0,0,'II. Inputs, Baseline Energy Mix'!$Q$92*'II. Inputs, Baseline Energy Mix'!$Q$16*BC158)</f>
        <v>0</v>
      </c>
      <c r="BD160" s="308">
        <f>IF('II. Inputs, Baseline Energy Mix'!$Q$15=0,0,'II. Inputs, Baseline Energy Mix'!$Q$92*'II. Inputs, Baseline Energy Mix'!$Q$16*BD158)</f>
        <v>0</v>
      </c>
      <c r="BE160" s="309">
        <f>IF('II. Inputs, Baseline Energy Mix'!$Q$15=0,0,'II. Inputs, Baseline Energy Mix'!$Q$92*'II. Inputs, Baseline Energy Mix'!$Q$16*BE158)</f>
        <v>0</v>
      </c>
    </row>
    <row r="161" spans="2:57" x14ac:dyDescent="0.25">
      <c r="B161" s="303"/>
      <c r="C161" s="304"/>
      <c r="D161" s="304"/>
      <c r="E161" s="307"/>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5"/>
    </row>
    <row r="162" spans="2:57" x14ac:dyDescent="0.25">
      <c r="B162" s="310" t="s">
        <v>99</v>
      </c>
      <c r="C162" s="311"/>
      <c r="D162" s="311"/>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3"/>
    </row>
    <row r="163" spans="2:57" x14ac:dyDescent="0.25">
      <c r="B163" s="303"/>
      <c r="C163" s="304"/>
      <c r="D163" s="304"/>
      <c r="E163" s="307"/>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4"/>
      <c r="BE163" s="305"/>
    </row>
    <row r="164" spans="2:57" x14ac:dyDescent="0.25">
      <c r="B164" s="303" t="s">
        <v>137</v>
      </c>
      <c r="C164" s="304"/>
      <c r="D164" s="304"/>
      <c r="E164" s="307"/>
      <c r="F164" s="307" t="s">
        <v>22</v>
      </c>
      <c r="G164" s="304"/>
      <c r="H164" s="1313">
        <f>IF('II. Inputs, Baseline Energy Mix'!$Q$15=0,0,H158*'II. Inputs, Baseline Energy Mix'!$Q$105*(1+'II. Inputs, Baseline Energy Mix'!$Q$106)^('IV. LCOE, Baseline Energy Mix'!H$13-1))</f>
        <v>0</v>
      </c>
      <c r="I164" s="1313">
        <f>IF('II. Inputs, Baseline Energy Mix'!$Q$15=0,0,I158*'II. Inputs, Baseline Energy Mix'!$Q$105*(1+'II. Inputs, Baseline Energy Mix'!$Q$106)^('IV. LCOE, Baseline Energy Mix'!I$13-1))</f>
        <v>0</v>
      </c>
      <c r="J164" s="1313">
        <f>IF('II. Inputs, Baseline Energy Mix'!$Q$15=0,0,J158*'II. Inputs, Baseline Energy Mix'!$Q$105*(1+'II. Inputs, Baseline Energy Mix'!$Q$106)^('IV. LCOE, Baseline Energy Mix'!J$13-1))</f>
        <v>0</v>
      </c>
      <c r="K164" s="1313">
        <f>IF('II. Inputs, Baseline Energy Mix'!$Q$15=0,0,K158*'II. Inputs, Baseline Energy Mix'!$Q$105*(1+'II. Inputs, Baseline Energy Mix'!$Q$106)^('IV. LCOE, Baseline Energy Mix'!K$13-1))</f>
        <v>0</v>
      </c>
      <c r="L164" s="1313">
        <f>IF('II. Inputs, Baseline Energy Mix'!$Q$15=0,0,L158*'II. Inputs, Baseline Energy Mix'!$Q$105*(1+'II. Inputs, Baseline Energy Mix'!$Q$106)^('IV. LCOE, Baseline Energy Mix'!L$13-1))</f>
        <v>0</v>
      </c>
      <c r="M164" s="1313">
        <f>IF('II. Inputs, Baseline Energy Mix'!$Q$15=0,0,M158*'II. Inputs, Baseline Energy Mix'!$Q$105*(1+'II. Inputs, Baseline Energy Mix'!$Q$106)^('IV. LCOE, Baseline Energy Mix'!M$13-1))</f>
        <v>0</v>
      </c>
      <c r="N164" s="1313">
        <f>IF('II. Inputs, Baseline Energy Mix'!$Q$15=0,0,N158*'II. Inputs, Baseline Energy Mix'!$Q$105*(1+'II. Inputs, Baseline Energy Mix'!$Q$106)^('IV. LCOE, Baseline Energy Mix'!N$13-1))</f>
        <v>0</v>
      </c>
      <c r="O164" s="1313">
        <f>IF('II. Inputs, Baseline Energy Mix'!$Q$15=0,0,O158*'II. Inputs, Baseline Energy Mix'!$Q$105*(1+'II. Inputs, Baseline Energy Mix'!$Q$106)^('IV. LCOE, Baseline Energy Mix'!O$13-1))</f>
        <v>0</v>
      </c>
      <c r="P164" s="1313">
        <f>IF('II. Inputs, Baseline Energy Mix'!$Q$15=0,0,P158*'II. Inputs, Baseline Energy Mix'!$Q$105*(1+'II. Inputs, Baseline Energy Mix'!$Q$106)^('IV. LCOE, Baseline Energy Mix'!P$13-1))</f>
        <v>0</v>
      </c>
      <c r="Q164" s="1313">
        <f>IF('II. Inputs, Baseline Energy Mix'!$Q$15=0,0,Q158*'II. Inputs, Baseline Energy Mix'!$Q$105*(1+'II. Inputs, Baseline Energy Mix'!$Q$106)^('IV. LCOE, Baseline Energy Mix'!Q$13-1))</f>
        <v>0</v>
      </c>
      <c r="R164" s="1313">
        <f>IF('II. Inputs, Baseline Energy Mix'!$Q$15=0,0,R158*'II. Inputs, Baseline Energy Mix'!$Q$105*(1+'II. Inputs, Baseline Energy Mix'!$Q$106)^('IV. LCOE, Baseline Energy Mix'!R$13-1))</f>
        <v>0</v>
      </c>
      <c r="S164" s="1313">
        <f>IF('II. Inputs, Baseline Energy Mix'!$Q$15=0,0,S158*'II. Inputs, Baseline Energy Mix'!$Q$105*(1+'II. Inputs, Baseline Energy Mix'!$Q$106)^('IV. LCOE, Baseline Energy Mix'!S$13-1))</f>
        <v>0</v>
      </c>
      <c r="T164" s="1313">
        <f>IF('II. Inputs, Baseline Energy Mix'!$Q$15=0,0,T158*'II. Inputs, Baseline Energy Mix'!$Q$105*(1+'II. Inputs, Baseline Energy Mix'!$Q$106)^('IV. LCOE, Baseline Energy Mix'!T$13-1))</f>
        <v>0</v>
      </c>
      <c r="U164" s="1313">
        <f>IF('II. Inputs, Baseline Energy Mix'!$Q$15=0,0,U158*'II. Inputs, Baseline Energy Mix'!$Q$105*(1+'II. Inputs, Baseline Energy Mix'!$Q$106)^('IV. LCOE, Baseline Energy Mix'!U$13-1))</f>
        <v>0</v>
      </c>
      <c r="V164" s="1313">
        <f>IF('II. Inputs, Baseline Energy Mix'!$Q$15=0,0,V158*'II. Inputs, Baseline Energy Mix'!$Q$105*(1+'II. Inputs, Baseline Energy Mix'!$Q$106)^('IV. LCOE, Baseline Energy Mix'!V$13-1))</f>
        <v>0</v>
      </c>
      <c r="W164" s="1313">
        <f>IF('II. Inputs, Baseline Energy Mix'!$Q$15=0,0,W158*'II. Inputs, Baseline Energy Mix'!$Q$105*(1+'II. Inputs, Baseline Energy Mix'!$Q$106)^('IV. LCOE, Baseline Energy Mix'!W$13-1))</f>
        <v>0</v>
      </c>
      <c r="X164" s="1313">
        <f>IF('II. Inputs, Baseline Energy Mix'!$Q$15=0,0,X158*'II. Inputs, Baseline Energy Mix'!$Q$105*(1+'II. Inputs, Baseline Energy Mix'!$Q$106)^('IV. LCOE, Baseline Energy Mix'!X$13-1))</f>
        <v>0</v>
      </c>
      <c r="Y164" s="1313">
        <f>IF('II. Inputs, Baseline Energy Mix'!$Q$15=0,0,Y158*'II. Inputs, Baseline Energy Mix'!$Q$105*(1+'II. Inputs, Baseline Energy Mix'!$Q$106)^('IV. LCOE, Baseline Energy Mix'!Y$13-1))</f>
        <v>0</v>
      </c>
      <c r="Z164" s="1313">
        <f>IF('II. Inputs, Baseline Energy Mix'!$Q$15=0,0,Z158*'II. Inputs, Baseline Energy Mix'!$Q$105*(1+'II. Inputs, Baseline Energy Mix'!$Q$106)^('IV. LCOE, Baseline Energy Mix'!Z$13-1))</f>
        <v>0</v>
      </c>
      <c r="AA164" s="1313">
        <f>IF('II. Inputs, Baseline Energy Mix'!$Q$15=0,0,AA158*'II. Inputs, Baseline Energy Mix'!$Q$105*(1+'II. Inputs, Baseline Energy Mix'!$Q$106)^('IV. LCOE, Baseline Energy Mix'!AA$13-1))</f>
        <v>0</v>
      </c>
      <c r="AB164" s="1313">
        <f>IF('II. Inputs, Baseline Energy Mix'!$Q$15=0,0,AB158*'II. Inputs, Baseline Energy Mix'!$Q$105*(1+'II. Inputs, Baseline Energy Mix'!$Q$106)^('IV. LCOE, Baseline Energy Mix'!AB$13-1))</f>
        <v>0</v>
      </c>
      <c r="AC164" s="1313">
        <f>IF('II. Inputs, Baseline Energy Mix'!$Q$15=0,0,AC158*'II. Inputs, Baseline Energy Mix'!$Q$105*(1+'II. Inputs, Baseline Energy Mix'!$Q$106)^('IV. LCOE, Baseline Energy Mix'!AC$13-1))</f>
        <v>0</v>
      </c>
      <c r="AD164" s="1313">
        <f>IF('II. Inputs, Baseline Energy Mix'!$Q$15=0,0,AD158*'II. Inputs, Baseline Energy Mix'!$Q$105*(1+'II. Inputs, Baseline Energy Mix'!$Q$106)^('IV. LCOE, Baseline Energy Mix'!AD$13-1))</f>
        <v>0</v>
      </c>
      <c r="AE164" s="1313">
        <f>IF('II. Inputs, Baseline Energy Mix'!$Q$15=0,0,AE158*'II. Inputs, Baseline Energy Mix'!$Q$105*(1+'II. Inputs, Baseline Energy Mix'!$Q$106)^('IV. LCOE, Baseline Energy Mix'!AE$13-1))</f>
        <v>0</v>
      </c>
      <c r="AF164" s="1313">
        <f>IF('II. Inputs, Baseline Energy Mix'!$Q$15=0,0,AF158*'II. Inputs, Baseline Energy Mix'!$Q$105*(1+'II. Inputs, Baseline Energy Mix'!$Q$106)^('IV. LCOE, Baseline Energy Mix'!AF$13-1))</f>
        <v>0</v>
      </c>
      <c r="AG164" s="1313">
        <f>IF('II. Inputs, Baseline Energy Mix'!$Q$15=0,0,AG158*'II. Inputs, Baseline Energy Mix'!$Q$105*(1+'II. Inputs, Baseline Energy Mix'!$Q$106)^('IV. LCOE, Baseline Energy Mix'!AG$13-1))</f>
        <v>0</v>
      </c>
      <c r="AH164" s="1313">
        <f>IF('II. Inputs, Baseline Energy Mix'!$Q$15=0,0,AH158*'II. Inputs, Baseline Energy Mix'!$Q$105*(1+'II. Inputs, Baseline Energy Mix'!$Q$106)^('IV. LCOE, Baseline Energy Mix'!AH$13-1))</f>
        <v>0</v>
      </c>
      <c r="AI164" s="1313">
        <f>IF('II. Inputs, Baseline Energy Mix'!$Q$15=0,0,AI158*'II. Inputs, Baseline Energy Mix'!$Q$105*(1+'II. Inputs, Baseline Energy Mix'!$Q$106)^('IV. LCOE, Baseline Energy Mix'!AI$13-1))</f>
        <v>0</v>
      </c>
      <c r="AJ164" s="1313">
        <f>IF('II. Inputs, Baseline Energy Mix'!$Q$15=0,0,AJ158*'II. Inputs, Baseline Energy Mix'!$Q$105*(1+'II. Inputs, Baseline Energy Mix'!$Q$106)^('IV. LCOE, Baseline Energy Mix'!AJ$13-1))</f>
        <v>0</v>
      </c>
      <c r="AK164" s="1313">
        <f>IF('II. Inputs, Baseline Energy Mix'!$Q$15=0,0,AK158*'II. Inputs, Baseline Energy Mix'!$Q$105*(1+'II. Inputs, Baseline Energy Mix'!$Q$106)^('IV. LCOE, Baseline Energy Mix'!AK$13-1))</f>
        <v>0</v>
      </c>
      <c r="AL164" s="1313">
        <f>IF('II. Inputs, Baseline Energy Mix'!$Q$15=0,0,AL158*'II. Inputs, Baseline Energy Mix'!$Q$105*(1+'II. Inputs, Baseline Energy Mix'!$Q$106)^('IV. LCOE, Baseline Energy Mix'!AL$13-1))</f>
        <v>0</v>
      </c>
      <c r="AM164" s="1313">
        <f>IF('II. Inputs, Baseline Energy Mix'!$Q$15=0,0,AM158*'II. Inputs, Baseline Energy Mix'!$Q$105*(1+'II. Inputs, Baseline Energy Mix'!$Q$106)^('IV. LCOE, Baseline Energy Mix'!AM$13-1))</f>
        <v>0</v>
      </c>
      <c r="AN164" s="1313">
        <f>IF('II. Inputs, Baseline Energy Mix'!$Q$15=0,0,AN158*'II. Inputs, Baseline Energy Mix'!$Q$105*(1+'II. Inputs, Baseline Energy Mix'!$Q$106)^('IV. LCOE, Baseline Energy Mix'!AN$13-1))</f>
        <v>0</v>
      </c>
      <c r="AO164" s="1313">
        <f>IF('II. Inputs, Baseline Energy Mix'!$Q$15=0,0,AO158*'II. Inputs, Baseline Energy Mix'!$Q$105*(1+'II. Inputs, Baseline Energy Mix'!$Q$106)^('IV. LCOE, Baseline Energy Mix'!AO$13-1))</f>
        <v>0</v>
      </c>
      <c r="AP164" s="1313">
        <f>IF('II. Inputs, Baseline Energy Mix'!$Q$15=0,0,AP158*'II. Inputs, Baseline Energy Mix'!$Q$105*(1+'II. Inputs, Baseline Energy Mix'!$Q$106)^('IV. LCOE, Baseline Energy Mix'!AP$13-1))</f>
        <v>0</v>
      </c>
      <c r="AQ164" s="1313">
        <f>IF('II. Inputs, Baseline Energy Mix'!$Q$15=0,0,AQ158*'II. Inputs, Baseline Energy Mix'!$Q$105*(1+'II. Inputs, Baseline Energy Mix'!$Q$106)^('IV. LCOE, Baseline Energy Mix'!AQ$13-1))</f>
        <v>0</v>
      </c>
      <c r="AR164" s="1313">
        <f>IF('II. Inputs, Baseline Energy Mix'!$Q$15=0,0,AR158*'II. Inputs, Baseline Energy Mix'!$Q$105*(1+'II. Inputs, Baseline Energy Mix'!$Q$106)^('IV. LCOE, Baseline Energy Mix'!AR$13-1))</f>
        <v>0</v>
      </c>
      <c r="AS164" s="1313">
        <f>IF('II. Inputs, Baseline Energy Mix'!$Q$15=0,0,AS158*'II. Inputs, Baseline Energy Mix'!$Q$105*(1+'II. Inputs, Baseline Energy Mix'!$Q$106)^('IV. LCOE, Baseline Energy Mix'!AS$13-1))</f>
        <v>0</v>
      </c>
      <c r="AT164" s="1313">
        <f>IF('II. Inputs, Baseline Energy Mix'!$Q$15=0,0,AT158*'II. Inputs, Baseline Energy Mix'!$Q$105*(1+'II. Inputs, Baseline Energy Mix'!$Q$106)^('IV. LCOE, Baseline Energy Mix'!AT$13-1))</f>
        <v>0</v>
      </c>
      <c r="AU164" s="1313">
        <f>IF('II. Inputs, Baseline Energy Mix'!$Q$15=0,0,AU158*'II. Inputs, Baseline Energy Mix'!$Q$105*(1+'II. Inputs, Baseline Energy Mix'!$Q$106)^('IV. LCOE, Baseline Energy Mix'!AU$13-1))</f>
        <v>0</v>
      </c>
      <c r="AV164" s="1313">
        <f>IF('II. Inputs, Baseline Energy Mix'!$Q$15=0,0,AV158*'II. Inputs, Baseline Energy Mix'!$Q$105*(1+'II. Inputs, Baseline Energy Mix'!$Q$106)^('IV. LCOE, Baseline Energy Mix'!AV$13-1))</f>
        <v>0</v>
      </c>
      <c r="AW164" s="1313">
        <f>IF('II. Inputs, Baseline Energy Mix'!$Q$15=0,0,AW158*'II. Inputs, Baseline Energy Mix'!$Q$105*(1+'II. Inputs, Baseline Energy Mix'!$Q$106)^('IV. LCOE, Baseline Energy Mix'!AW$13-1))</f>
        <v>0</v>
      </c>
      <c r="AX164" s="1313">
        <f>IF('II. Inputs, Baseline Energy Mix'!$Q$15=0,0,AX158*'II. Inputs, Baseline Energy Mix'!$Q$105*(1+'II. Inputs, Baseline Energy Mix'!$Q$106)^('IV. LCOE, Baseline Energy Mix'!AX$13-1))</f>
        <v>0</v>
      </c>
      <c r="AY164" s="1313">
        <f>IF('II. Inputs, Baseline Energy Mix'!$Q$15=0,0,AY158*'II. Inputs, Baseline Energy Mix'!$Q$105*(1+'II. Inputs, Baseline Energy Mix'!$Q$106)^('IV. LCOE, Baseline Energy Mix'!AY$13-1))</f>
        <v>0</v>
      </c>
      <c r="AZ164" s="1313">
        <f>IF('II. Inputs, Baseline Energy Mix'!$Q$15=0,0,AZ158*'II. Inputs, Baseline Energy Mix'!$Q$105*(1+'II. Inputs, Baseline Energy Mix'!$Q$106)^('IV. LCOE, Baseline Energy Mix'!AZ$13-1))</f>
        <v>0</v>
      </c>
      <c r="BA164" s="1313">
        <f>IF('II. Inputs, Baseline Energy Mix'!$Q$15=0,0,BA158*'II. Inputs, Baseline Energy Mix'!$Q$105*(1+'II. Inputs, Baseline Energy Mix'!$Q$106)^('IV. LCOE, Baseline Energy Mix'!BA$13-1))</f>
        <v>0</v>
      </c>
      <c r="BB164" s="1313">
        <f>IF('II. Inputs, Baseline Energy Mix'!$Q$15=0,0,BB158*'II. Inputs, Baseline Energy Mix'!$Q$105*(1+'II. Inputs, Baseline Energy Mix'!$Q$106)^('IV. LCOE, Baseline Energy Mix'!BB$13-1))</f>
        <v>0</v>
      </c>
      <c r="BC164" s="1313">
        <f>IF('II. Inputs, Baseline Energy Mix'!$Q$15=0,0,BC158*'II. Inputs, Baseline Energy Mix'!$Q$105*(1+'II. Inputs, Baseline Energy Mix'!$Q$106)^('IV. LCOE, Baseline Energy Mix'!BC$13-1))</f>
        <v>0</v>
      </c>
      <c r="BD164" s="1313">
        <f>IF('II. Inputs, Baseline Energy Mix'!$Q$15=0,0,BD158*'II. Inputs, Baseline Energy Mix'!$Q$105*(1+'II. Inputs, Baseline Energy Mix'!$Q$106)^('IV. LCOE, Baseline Energy Mix'!BD$13-1))</f>
        <v>0</v>
      </c>
      <c r="BE164" s="1314">
        <f>IF('II. Inputs, Baseline Energy Mix'!$Q$15=0,0,BE158*'II. Inputs, Baseline Energy Mix'!$Q$105*(1+'II. Inputs, Baseline Energy Mix'!$Q$106)^('IV. LCOE, Baseline Energy Mix'!BE$13-1))</f>
        <v>0</v>
      </c>
    </row>
    <row r="165" spans="2:57" x14ac:dyDescent="0.25">
      <c r="B165" s="303"/>
      <c r="C165" s="304"/>
      <c r="D165" s="304"/>
      <c r="E165" s="307"/>
      <c r="F165" s="307"/>
      <c r="G165" s="30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4"/>
      <c r="AK165" s="1184"/>
      <c r="AL165" s="1184"/>
      <c r="AM165" s="1184"/>
      <c r="AN165" s="1184"/>
      <c r="AO165" s="1184"/>
      <c r="AP165" s="1184"/>
      <c r="AQ165" s="1184"/>
      <c r="AR165" s="1184"/>
      <c r="AS165" s="1184"/>
      <c r="AT165" s="1184"/>
      <c r="AU165" s="1184"/>
      <c r="AV165" s="1184"/>
      <c r="AW165" s="1184"/>
      <c r="AX165" s="1184"/>
      <c r="AY165" s="1184"/>
      <c r="AZ165" s="1184"/>
      <c r="BA165" s="1184"/>
      <c r="BB165" s="1184"/>
      <c r="BC165" s="1184"/>
      <c r="BD165" s="1184"/>
      <c r="BE165" s="1185"/>
    </row>
    <row r="166" spans="2:57" x14ac:dyDescent="0.25">
      <c r="B166" s="303" t="s">
        <v>38</v>
      </c>
      <c r="C166" s="304"/>
      <c r="D166" s="304"/>
      <c r="E166" s="307"/>
      <c r="F166" s="307" t="s">
        <v>626</v>
      </c>
      <c r="G166" s="304"/>
      <c r="H166" s="1311">
        <f>IF('II. Inputs, Baseline Energy Mix'!$Q$96="Model Default",'IV. LCOE, Baseline Energy Mix'!H167,IF('II. Inputs, Baseline Energy Mix'!$Q$96="User-defined, annually adjusted",'IV. LCOE, Baseline Energy Mix'!H168,IF('II. Inputs, Baseline Energy Mix'!$Q$96="Manual Entry",'IV. LCOE, Baseline Energy Mix'!H170,H169)))</f>
        <v>81.367551370241216</v>
      </c>
      <c r="I166" s="1311">
        <f>IF('II. Inputs, Baseline Energy Mix'!$Q$96="Model Default",'IV. LCOE, Baseline Energy Mix'!I167,IF('II. Inputs, Baseline Energy Mix'!$Q$96="User-defined, annually adjusted",'IV. LCOE, Baseline Energy Mix'!I168,IF('II. Inputs, Baseline Energy Mix'!$Q$96="Manual Entry",'IV. LCOE, Baseline Energy Mix'!I170,I169)))</f>
        <v>83.175102740482444</v>
      </c>
      <c r="J166" s="1311">
        <f>IF('II. Inputs, Baseline Energy Mix'!$Q$96="Model Default",'IV. LCOE, Baseline Energy Mix'!J167,IF('II. Inputs, Baseline Energy Mix'!$Q$96="User-defined, annually adjusted",'IV. LCOE, Baseline Energy Mix'!J168,IF('II. Inputs, Baseline Energy Mix'!$Q$96="Manual Entry",'IV. LCOE, Baseline Energy Mix'!J170,J169)))</f>
        <v>84.982654110723658</v>
      </c>
      <c r="K166" s="1311">
        <f>IF('II. Inputs, Baseline Energy Mix'!$Q$96="Model Default",'IV. LCOE, Baseline Energy Mix'!K167,IF('II. Inputs, Baseline Energy Mix'!$Q$96="User-defined, annually adjusted",'IV. LCOE, Baseline Energy Mix'!K168,IF('II. Inputs, Baseline Energy Mix'!$Q$96="Manual Entry",'IV. LCOE, Baseline Energy Mix'!K170,K169)))</f>
        <v>86.790205480964886</v>
      </c>
      <c r="L166" s="1311">
        <f>IF('II. Inputs, Baseline Energy Mix'!$Q$96="Model Default",'IV. LCOE, Baseline Energy Mix'!L167,IF('II. Inputs, Baseline Energy Mix'!$Q$96="User-defined, annually adjusted",'IV. LCOE, Baseline Energy Mix'!L168,IF('II. Inputs, Baseline Energy Mix'!$Q$96="Manual Entry",'IV. LCOE, Baseline Energy Mix'!L170,L169)))</f>
        <v>88.5977568512061</v>
      </c>
      <c r="M166" s="1311">
        <f>IF('II. Inputs, Baseline Energy Mix'!$Q$96="Model Default",'IV. LCOE, Baseline Energy Mix'!M167,IF('II. Inputs, Baseline Energy Mix'!$Q$96="User-defined, annually adjusted",'IV. LCOE, Baseline Energy Mix'!M168,IF('II. Inputs, Baseline Energy Mix'!$Q$96="Manual Entry",'IV. LCOE, Baseline Energy Mix'!M170,M169)))</f>
        <v>90.405308221447314</v>
      </c>
      <c r="N166" s="1311">
        <f>IF('II. Inputs, Baseline Energy Mix'!$Q$96="Model Default",'IV. LCOE, Baseline Energy Mix'!N167,IF('II. Inputs, Baseline Energy Mix'!$Q$96="User-defined, annually adjusted",'IV. LCOE, Baseline Energy Mix'!N168,IF('II. Inputs, Baseline Energy Mix'!$Q$96="Manual Entry",'IV. LCOE, Baseline Energy Mix'!N170,N169)))</f>
        <v>92.212859591688542</v>
      </c>
      <c r="O166" s="1311">
        <f>IF('II. Inputs, Baseline Energy Mix'!$Q$96="Model Default",'IV. LCOE, Baseline Energy Mix'!O167,IF('II. Inputs, Baseline Energy Mix'!$Q$96="User-defined, annually adjusted",'IV. LCOE, Baseline Energy Mix'!O168,IF('II. Inputs, Baseline Energy Mix'!$Q$96="Manual Entry",'IV. LCOE, Baseline Energy Mix'!O170,O169)))</f>
        <v>94.020410961929755</v>
      </c>
      <c r="P166" s="1311">
        <f>IF('II. Inputs, Baseline Energy Mix'!$Q$96="Model Default",'IV. LCOE, Baseline Energy Mix'!P167,IF('II. Inputs, Baseline Energy Mix'!$Q$96="User-defined, annually adjusted",'IV. LCOE, Baseline Energy Mix'!P168,IF('II. Inputs, Baseline Energy Mix'!$Q$96="Manual Entry",'IV. LCOE, Baseline Energy Mix'!P170,P169)))</f>
        <v>95.827962332170983</v>
      </c>
      <c r="Q166" s="1311">
        <f>IF('II. Inputs, Baseline Energy Mix'!$Q$96="Model Default",'IV. LCOE, Baseline Energy Mix'!Q167,IF('II. Inputs, Baseline Energy Mix'!$Q$96="User-defined, annually adjusted",'IV. LCOE, Baseline Energy Mix'!Q168,IF('II. Inputs, Baseline Energy Mix'!$Q$96="Manual Entry",'IV. LCOE, Baseline Energy Mix'!Q170,Q169)))</f>
        <v>97.635513702412197</v>
      </c>
      <c r="R166" s="1311">
        <f>IF('II. Inputs, Baseline Energy Mix'!$Q$96="Model Default",'IV. LCOE, Baseline Energy Mix'!R167,IF('II. Inputs, Baseline Energy Mix'!$Q$96="User-defined, annually adjusted",'IV. LCOE, Baseline Energy Mix'!R168,IF('II. Inputs, Baseline Energy Mix'!$Q$96="Manual Entry",'IV. LCOE, Baseline Energy Mix'!R170,R169)))</f>
        <v>99.443065072653411</v>
      </c>
      <c r="S166" s="1311">
        <f>IF('II. Inputs, Baseline Energy Mix'!$Q$96="Model Default",'IV. LCOE, Baseline Energy Mix'!S167,IF('II. Inputs, Baseline Energy Mix'!$Q$96="User-defined, annually adjusted",'IV. LCOE, Baseline Energy Mix'!S168,IF('II. Inputs, Baseline Energy Mix'!$Q$96="Manual Entry",'IV. LCOE, Baseline Energy Mix'!S170,S169)))</f>
        <v>101.25061644289464</v>
      </c>
      <c r="T166" s="1311">
        <f>IF('II. Inputs, Baseline Energy Mix'!$Q$96="Model Default",'IV. LCOE, Baseline Energy Mix'!T167,IF('II. Inputs, Baseline Energy Mix'!$Q$96="User-defined, annually adjusted",'IV. LCOE, Baseline Energy Mix'!T168,IF('II. Inputs, Baseline Energy Mix'!$Q$96="Manual Entry",'IV. LCOE, Baseline Energy Mix'!T170,T169)))</f>
        <v>103.05816781313585</v>
      </c>
      <c r="U166" s="1311">
        <f>IF('II. Inputs, Baseline Energy Mix'!$Q$96="Model Default",'IV. LCOE, Baseline Energy Mix'!U167,IF('II. Inputs, Baseline Energy Mix'!$Q$96="User-defined, annually adjusted",'IV. LCOE, Baseline Energy Mix'!U168,IF('II. Inputs, Baseline Energy Mix'!$Q$96="Manual Entry",'IV. LCOE, Baseline Energy Mix'!U170,U169)))</f>
        <v>104.86571918337708</v>
      </c>
      <c r="V166" s="1311">
        <f>IF('II. Inputs, Baseline Energy Mix'!$Q$96="Model Default",'IV. LCOE, Baseline Energy Mix'!V167,IF('II. Inputs, Baseline Energy Mix'!$Q$96="User-defined, annually adjusted",'IV. LCOE, Baseline Energy Mix'!V168,IF('II. Inputs, Baseline Energy Mix'!$Q$96="Manual Entry",'IV. LCOE, Baseline Energy Mix'!V170,V169)))</f>
        <v>106.67327055361829</v>
      </c>
      <c r="W166" s="1311">
        <f>IF('II. Inputs, Baseline Energy Mix'!$Q$96="Model Default",'IV. LCOE, Baseline Energy Mix'!W167,IF('II. Inputs, Baseline Energy Mix'!$Q$96="User-defined, annually adjusted",'IV. LCOE, Baseline Energy Mix'!W168,IF('II. Inputs, Baseline Energy Mix'!$Q$96="Manual Entry",'IV. LCOE, Baseline Energy Mix'!W170,W169)))</f>
        <v>108.48082192385951</v>
      </c>
      <c r="X166" s="1311">
        <f>IF('II. Inputs, Baseline Energy Mix'!$Q$96="Model Default",'IV. LCOE, Baseline Energy Mix'!X167,IF('II. Inputs, Baseline Energy Mix'!$Q$96="User-defined, annually adjusted",'IV. LCOE, Baseline Energy Mix'!X168,IF('II. Inputs, Baseline Energy Mix'!$Q$96="Manual Entry",'IV. LCOE, Baseline Energy Mix'!X170,X169)))</f>
        <v>110.28837329410074</v>
      </c>
      <c r="Y166" s="1311">
        <f>IF('II. Inputs, Baseline Energy Mix'!$Q$96="Model Default",'IV. LCOE, Baseline Energy Mix'!Y167,IF('II. Inputs, Baseline Energy Mix'!$Q$96="User-defined, annually adjusted",'IV. LCOE, Baseline Energy Mix'!Y168,IF('II. Inputs, Baseline Energy Mix'!$Q$96="Manual Entry",'IV. LCOE, Baseline Energy Mix'!Y170,Y169)))</f>
        <v>112.09592466434196</v>
      </c>
      <c r="Z166" s="1311">
        <f>IF('II. Inputs, Baseline Energy Mix'!$Q$96="Model Default",'IV. LCOE, Baseline Energy Mix'!Z167,IF('II. Inputs, Baseline Energy Mix'!$Q$96="User-defined, annually adjusted",'IV. LCOE, Baseline Energy Mix'!Z168,IF('II. Inputs, Baseline Energy Mix'!$Q$96="Manual Entry",'IV. LCOE, Baseline Energy Mix'!Z170,Z169)))</f>
        <v>113.90347603458318</v>
      </c>
      <c r="AA166" s="1311">
        <f>IF('II. Inputs, Baseline Energy Mix'!$Q$96="Model Default",'IV. LCOE, Baseline Energy Mix'!AA167,IF('II. Inputs, Baseline Energy Mix'!$Q$96="User-defined, annually adjusted",'IV. LCOE, Baseline Energy Mix'!AA168,IF('II. Inputs, Baseline Energy Mix'!$Q$96="Manual Entry",'IV. LCOE, Baseline Energy Mix'!AA170,AA169)))</f>
        <v>115.71102740482439</v>
      </c>
      <c r="AB166" s="1311">
        <f>IF('II. Inputs, Baseline Energy Mix'!$Q$96="Model Default",'IV. LCOE, Baseline Energy Mix'!AB167,IF('II. Inputs, Baseline Energy Mix'!$Q$96="User-defined, annually adjusted",'IV. LCOE, Baseline Energy Mix'!AB168,IF('II. Inputs, Baseline Energy Mix'!$Q$96="Manual Entry",'IV. LCOE, Baseline Energy Mix'!AB170,AB169)))</f>
        <v>118.31652679791549</v>
      </c>
      <c r="AC166" s="1311">
        <f>IF('II. Inputs, Baseline Energy Mix'!$Q$96="Model Default",'IV. LCOE, Baseline Energy Mix'!AC167,IF('II. Inputs, Baseline Energy Mix'!$Q$96="User-defined, annually adjusted",'IV. LCOE, Baseline Energy Mix'!AC168,IF('II. Inputs, Baseline Energy Mix'!$Q$96="Manual Entry",'IV. LCOE, Baseline Energy Mix'!AC170,AC169)))</f>
        <v>120.92202619100655</v>
      </c>
      <c r="AD166" s="1311">
        <f>IF('II. Inputs, Baseline Energy Mix'!$Q$96="Model Default",'IV. LCOE, Baseline Energy Mix'!AD167,IF('II. Inputs, Baseline Energy Mix'!$Q$96="User-defined, annually adjusted",'IV. LCOE, Baseline Energy Mix'!AD168,IF('II. Inputs, Baseline Energy Mix'!$Q$96="Manual Entry",'IV. LCOE, Baseline Energy Mix'!AD170,AD169)))</f>
        <v>123.52752558409765</v>
      </c>
      <c r="AE166" s="1311">
        <f>IF('II. Inputs, Baseline Energy Mix'!$Q$96="Model Default",'IV. LCOE, Baseline Energy Mix'!AE167,IF('II. Inputs, Baseline Energy Mix'!$Q$96="User-defined, annually adjusted",'IV. LCOE, Baseline Energy Mix'!AE168,IF('II. Inputs, Baseline Energy Mix'!$Q$96="Manual Entry",'IV. LCOE, Baseline Energy Mix'!AE170,AE169)))</f>
        <v>126.13302497718873</v>
      </c>
      <c r="AF166" s="1311">
        <f>IF('II. Inputs, Baseline Energy Mix'!$Q$96="Model Default",'IV. LCOE, Baseline Energy Mix'!AF167,IF('II. Inputs, Baseline Energy Mix'!$Q$96="User-defined, annually adjusted",'IV. LCOE, Baseline Energy Mix'!AF168,IF('II. Inputs, Baseline Energy Mix'!$Q$96="Manual Entry",'IV. LCOE, Baseline Energy Mix'!AF170,AF169)))</f>
        <v>128.7385243702798</v>
      </c>
      <c r="AG166" s="1311">
        <f>IF('II. Inputs, Baseline Energy Mix'!$Q$96="Model Default",'IV. LCOE, Baseline Energy Mix'!AG167,IF('II. Inputs, Baseline Energy Mix'!$Q$96="User-defined, annually adjusted",'IV. LCOE, Baseline Energy Mix'!AG168,IF('II. Inputs, Baseline Energy Mix'!$Q$96="Manual Entry",'IV. LCOE, Baseline Energy Mix'!AG170,AG169)))</f>
        <v>0</v>
      </c>
      <c r="AH166" s="1311">
        <f>IF('II. Inputs, Baseline Energy Mix'!$Q$96="Model Default",'IV. LCOE, Baseline Energy Mix'!AH167,IF('II. Inputs, Baseline Energy Mix'!$Q$96="User-defined, annually adjusted",'IV. LCOE, Baseline Energy Mix'!AH168,IF('II. Inputs, Baseline Energy Mix'!$Q$96="Manual Entry",'IV. LCOE, Baseline Energy Mix'!AH170,AH169)))</f>
        <v>0</v>
      </c>
      <c r="AI166" s="1311">
        <f>IF('II. Inputs, Baseline Energy Mix'!$Q$96="Model Default",'IV. LCOE, Baseline Energy Mix'!AI167,IF('II. Inputs, Baseline Energy Mix'!$Q$96="User-defined, annually adjusted",'IV. LCOE, Baseline Energy Mix'!AI168,IF('II. Inputs, Baseline Energy Mix'!$Q$96="Manual Entry",'IV. LCOE, Baseline Energy Mix'!AI170,AI169)))</f>
        <v>0</v>
      </c>
      <c r="AJ166" s="1311">
        <f>IF('II. Inputs, Baseline Energy Mix'!$Q$96="Model Default",'IV. LCOE, Baseline Energy Mix'!AJ167,IF('II. Inputs, Baseline Energy Mix'!$Q$96="User-defined, annually adjusted",'IV. LCOE, Baseline Energy Mix'!AJ168,IF('II. Inputs, Baseline Energy Mix'!$Q$96="Manual Entry",'IV. LCOE, Baseline Energy Mix'!AJ170,AJ169)))</f>
        <v>0</v>
      </c>
      <c r="AK166" s="1311">
        <f>IF('II. Inputs, Baseline Energy Mix'!$Q$96="Model Default",'IV. LCOE, Baseline Energy Mix'!AK167,IF('II. Inputs, Baseline Energy Mix'!$Q$96="User-defined, annually adjusted",'IV. LCOE, Baseline Energy Mix'!AK168,IF('II. Inputs, Baseline Energy Mix'!$Q$96="Manual Entry",'IV. LCOE, Baseline Energy Mix'!AK170,AK169)))</f>
        <v>0</v>
      </c>
      <c r="AL166" s="1311">
        <f>IF('II. Inputs, Baseline Energy Mix'!$Q$96="Model Default",'IV. LCOE, Baseline Energy Mix'!AL167,IF('II. Inputs, Baseline Energy Mix'!$Q$96="User-defined, annually adjusted",'IV. LCOE, Baseline Energy Mix'!AL168,IF('II. Inputs, Baseline Energy Mix'!$Q$96="Manual Entry",'IV. LCOE, Baseline Energy Mix'!AL170,AL169)))</f>
        <v>0</v>
      </c>
      <c r="AM166" s="1311">
        <f>IF('II. Inputs, Baseline Energy Mix'!$Q$96="Model Default",'IV. LCOE, Baseline Energy Mix'!AM167,IF('II. Inputs, Baseline Energy Mix'!$Q$96="User-defined, annually adjusted",'IV. LCOE, Baseline Energy Mix'!AM168,IF('II. Inputs, Baseline Energy Mix'!$Q$96="Manual Entry",'IV. LCOE, Baseline Energy Mix'!AM170,AM169)))</f>
        <v>0</v>
      </c>
      <c r="AN166" s="1311">
        <f>IF('II. Inputs, Baseline Energy Mix'!$Q$96="Model Default",'IV. LCOE, Baseline Energy Mix'!AN167,IF('II. Inputs, Baseline Energy Mix'!$Q$96="User-defined, annually adjusted",'IV. LCOE, Baseline Energy Mix'!AN168,IF('II. Inputs, Baseline Energy Mix'!$Q$96="Manual Entry",'IV. LCOE, Baseline Energy Mix'!AN170,AN169)))</f>
        <v>0</v>
      </c>
      <c r="AO166" s="1311">
        <f>IF('II. Inputs, Baseline Energy Mix'!$Q$96="Model Default",'IV. LCOE, Baseline Energy Mix'!AO167,IF('II. Inputs, Baseline Energy Mix'!$Q$96="User-defined, annually adjusted",'IV. LCOE, Baseline Energy Mix'!AO168,IF('II. Inputs, Baseline Energy Mix'!$Q$96="Manual Entry",'IV. LCOE, Baseline Energy Mix'!AO170,AO169)))</f>
        <v>0</v>
      </c>
      <c r="AP166" s="1311">
        <f>IF('II. Inputs, Baseline Energy Mix'!$Q$96="Model Default",'IV. LCOE, Baseline Energy Mix'!AP167,IF('II. Inputs, Baseline Energy Mix'!$Q$96="User-defined, annually adjusted",'IV. LCOE, Baseline Energy Mix'!AP168,IF('II. Inputs, Baseline Energy Mix'!$Q$96="Manual Entry",'IV. LCOE, Baseline Energy Mix'!AP170,AP169)))</f>
        <v>0</v>
      </c>
      <c r="AQ166" s="1311">
        <f>IF('II. Inputs, Baseline Energy Mix'!$Q$96="Model Default",'IV. LCOE, Baseline Energy Mix'!AQ167,IF('II. Inputs, Baseline Energy Mix'!$Q$96="User-defined, annually adjusted",'IV. LCOE, Baseline Energy Mix'!AQ168,IF('II. Inputs, Baseline Energy Mix'!$Q$96="Manual Entry",'IV. LCOE, Baseline Energy Mix'!AQ170,AQ169)))</f>
        <v>0</v>
      </c>
      <c r="AR166" s="1311">
        <f>IF('II. Inputs, Baseline Energy Mix'!$Q$96="Model Default",'IV. LCOE, Baseline Energy Mix'!AR167,IF('II. Inputs, Baseline Energy Mix'!$Q$96="User-defined, annually adjusted",'IV. LCOE, Baseline Energy Mix'!AR168,IF('II. Inputs, Baseline Energy Mix'!$Q$96="Manual Entry",'IV. LCOE, Baseline Energy Mix'!AR170,AR169)))</f>
        <v>0</v>
      </c>
      <c r="AS166" s="1311">
        <f>IF('II. Inputs, Baseline Energy Mix'!$Q$96="Model Default",'IV. LCOE, Baseline Energy Mix'!AS167,IF('II. Inputs, Baseline Energy Mix'!$Q$96="User-defined, annually adjusted",'IV. LCOE, Baseline Energy Mix'!AS168,IF('II. Inputs, Baseline Energy Mix'!$Q$96="Manual Entry",'IV. LCOE, Baseline Energy Mix'!AS170,AS169)))</f>
        <v>0</v>
      </c>
      <c r="AT166" s="1311">
        <f>IF('II. Inputs, Baseline Energy Mix'!$Q$96="Model Default",'IV. LCOE, Baseline Energy Mix'!AT167,IF('II. Inputs, Baseline Energy Mix'!$Q$96="User-defined, annually adjusted",'IV. LCOE, Baseline Energy Mix'!AT168,IF('II. Inputs, Baseline Energy Mix'!$Q$96="Manual Entry",'IV. LCOE, Baseline Energy Mix'!AT170,AT169)))</f>
        <v>0</v>
      </c>
      <c r="AU166" s="1311">
        <f>IF('II. Inputs, Baseline Energy Mix'!$Q$96="Model Default",'IV. LCOE, Baseline Energy Mix'!AU167,IF('II. Inputs, Baseline Energy Mix'!$Q$96="User-defined, annually adjusted",'IV. LCOE, Baseline Energy Mix'!AU168,IF('II. Inputs, Baseline Energy Mix'!$Q$96="Manual Entry",'IV. LCOE, Baseline Energy Mix'!AU170,AU169)))</f>
        <v>0</v>
      </c>
      <c r="AV166" s="1311">
        <f>IF('II. Inputs, Baseline Energy Mix'!$Q$96="Model Default",'IV. LCOE, Baseline Energy Mix'!AV167,IF('II. Inputs, Baseline Energy Mix'!$Q$96="User-defined, annually adjusted",'IV. LCOE, Baseline Energy Mix'!AV168,IF('II. Inputs, Baseline Energy Mix'!$Q$96="Manual Entry",'IV. LCOE, Baseline Energy Mix'!AV170,AV169)))</f>
        <v>0</v>
      </c>
      <c r="AW166" s="1311">
        <f>IF('II. Inputs, Baseline Energy Mix'!$Q$96="Model Default",'IV. LCOE, Baseline Energy Mix'!AW167,IF('II. Inputs, Baseline Energy Mix'!$Q$96="User-defined, annually adjusted",'IV. LCOE, Baseline Energy Mix'!AW168,IF('II. Inputs, Baseline Energy Mix'!$Q$96="Manual Entry",'IV. LCOE, Baseline Energy Mix'!AW170,AW169)))</f>
        <v>0</v>
      </c>
      <c r="AX166" s="1311">
        <f>IF('II. Inputs, Baseline Energy Mix'!$Q$96="Model Default",'IV. LCOE, Baseline Energy Mix'!AX167,IF('II. Inputs, Baseline Energy Mix'!$Q$96="User-defined, annually adjusted",'IV. LCOE, Baseline Energy Mix'!AX168,IF('II. Inputs, Baseline Energy Mix'!$Q$96="Manual Entry",'IV. LCOE, Baseline Energy Mix'!AX170,AX169)))</f>
        <v>0</v>
      </c>
      <c r="AY166" s="1311">
        <f>IF('II. Inputs, Baseline Energy Mix'!$Q$96="Model Default",'IV. LCOE, Baseline Energy Mix'!AY167,IF('II. Inputs, Baseline Energy Mix'!$Q$96="User-defined, annually adjusted",'IV. LCOE, Baseline Energy Mix'!AY168,IF('II. Inputs, Baseline Energy Mix'!$Q$96="Manual Entry",'IV. LCOE, Baseline Energy Mix'!AY170,AY169)))</f>
        <v>0</v>
      </c>
      <c r="AZ166" s="1311">
        <f>IF('II. Inputs, Baseline Energy Mix'!$Q$96="Model Default",'IV. LCOE, Baseline Energy Mix'!AZ167,IF('II. Inputs, Baseline Energy Mix'!$Q$96="User-defined, annually adjusted",'IV. LCOE, Baseline Energy Mix'!AZ168,IF('II. Inputs, Baseline Energy Mix'!$Q$96="Manual Entry",'IV. LCOE, Baseline Energy Mix'!AZ170,AZ169)))</f>
        <v>0</v>
      </c>
      <c r="BA166" s="1311">
        <f>IF('II. Inputs, Baseline Energy Mix'!$Q$96="Model Default",'IV. LCOE, Baseline Energy Mix'!BA167,IF('II. Inputs, Baseline Energy Mix'!$Q$96="User-defined, annually adjusted",'IV. LCOE, Baseline Energy Mix'!BA168,IF('II. Inputs, Baseline Energy Mix'!$Q$96="Manual Entry",'IV. LCOE, Baseline Energy Mix'!BA170,BA169)))</f>
        <v>0</v>
      </c>
      <c r="BB166" s="1311">
        <f>IF('II. Inputs, Baseline Energy Mix'!$Q$96="Model Default",'IV. LCOE, Baseline Energy Mix'!BB167,IF('II. Inputs, Baseline Energy Mix'!$Q$96="User-defined, annually adjusted",'IV. LCOE, Baseline Energy Mix'!BB168,IF('II. Inputs, Baseline Energy Mix'!$Q$96="Manual Entry",'IV. LCOE, Baseline Energy Mix'!BB170,BB169)))</f>
        <v>0</v>
      </c>
      <c r="BC166" s="1311">
        <f>IF('II. Inputs, Baseline Energy Mix'!$Q$96="Model Default",'IV. LCOE, Baseline Energy Mix'!BC167,IF('II. Inputs, Baseline Energy Mix'!$Q$96="User-defined, annually adjusted",'IV. LCOE, Baseline Energy Mix'!BC168,IF('II. Inputs, Baseline Energy Mix'!$Q$96="Manual Entry",'IV. LCOE, Baseline Energy Mix'!BC170,BC169)))</f>
        <v>0</v>
      </c>
      <c r="BD166" s="1311">
        <f>IF('II. Inputs, Baseline Energy Mix'!$Q$96="Model Default",'IV. LCOE, Baseline Energy Mix'!BD167,IF('II. Inputs, Baseline Energy Mix'!$Q$96="User-defined, annually adjusted",'IV. LCOE, Baseline Energy Mix'!BD168,IF('II. Inputs, Baseline Energy Mix'!$Q$96="Manual Entry",'IV. LCOE, Baseline Energy Mix'!BD170,BD169)))</f>
        <v>0</v>
      </c>
      <c r="BE166" s="1312">
        <f>IF('II. Inputs, Baseline Energy Mix'!$Q$96="Model Default",'IV. LCOE, Baseline Energy Mix'!BE167,IF('II. Inputs, Baseline Energy Mix'!$Q$96="User-defined, annually adjusted",'IV. LCOE, Baseline Energy Mix'!BE168,IF('II. Inputs, Baseline Energy Mix'!$Q$96="Manual Entry",'IV. LCOE, Baseline Energy Mix'!BE170,BE169)))</f>
        <v>0</v>
      </c>
    </row>
    <row r="167" spans="2:57" outlineLevel="1" x14ac:dyDescent="0.25">
      <c r="B167" s="303"/>
      <c r="C167" s="304" t="s">
        <v>159</v>
      </c>
      <c r="D167" s="304"/>
      <c r="E167" s="307"/>
      <c r="F167" s="307"/>
      <c r="G167" s="304"/>
      <c r="H167" s="1311">
        <f>H158*VLOOKUP('IV. LCOE, Baseline Energy Mix'!H$13,'VII. Additional Data'!$C$17:$V$66,6, FALSE)</f>
        <v>81.367551370241216</v>
      </c>
      <c r="I167" s="1311">
        <f>I158*VLOOKUP('IV. LCOE, Baseline Energy Mix'!I$13,'VII. Additional Data'!$C$17:$V$66,6, FALSE)</f>
        <v>83.175102740482444</v>
      </c>
      <c r="J167" s="1311">
        <f>J158*VLOOKUP('IV. LCOE, Baseline Energy Mix'!J$13,'VII. Additional Data'!$C$17:$V$66,6, FALSE)</f>
        <v>84.982654110723658</v>
      </c>
      <c r="K167" s="1311">
        <f>K158*VLOOKUP('IV. LCOE, Baseline Energy Mix'!K$13,'VII. Additional Data'!$C$17:$V$66,6, FALSE)</f>
        <v>86.790205480964886</v>
      </c>
      <c r="L167" s="1311">
        <f>L158*VLOOKUP('IV. LCOE, Baseline Energy Mix'!L$13,'VII. Additional Data'!$C$17:$V$66,6, FALSE)</f>
        <v>88.5977568512061</v>
      </c>
      <c r="M167" s="1311">
        <f>M158*VLOOKUP('IV. LCOE, Baseline Energy Mix'!M$13,'VII. Additional Data'!$C$17:$V$66,6, FALSE)</f>
        <v>90.405308221447314</v>
      </c>
      <c r="N167" s="1311">
        <f>N158*VLOOKUP('IV. LCOE, Baseline Energy Mix'!N$13,'VII. Additional Data'!$C$17:$V$66,6, FALSE)</f>
        <v>92.212859591688542</v>
      </c>
      <c r="O167" s="1311">
        <f>O158*VLOOKUP('IV. LCOE, Baseline Energy Mix'!O$13,'VII. Additional Data'!$C$17:$V$66,6, FALSE)</f>
        <v>94.020410961929755</v>
      </c>
      <c r="P167" s="1311">
        <f>P158*VLOOKUP('IV. LCOE, Baseline Energy Mix'!P$13,'VII. Additional Data'!$C$17:$V$66,6, FALSE)</f>
        <v>95.827962332170983</v>
      </c>
      <c r="Q167" s="1311">
        <f>Q158*VLOOKUP('IV. LCOE, Baseline Energy Mix'!Q$13,'VII. Additional Data'!$C$17:$V$66,6, FALSE)</f>
        <v>97.635513702412197</v>
      </c>
      <c r="R167" s="1311">
        <f>R158*VLOOKUP('IV. LCOE, Baseline Energy Mix'!R$13,'VII. Additional Data'!$C$17:$V$66,6, FALSE)</f>
        <v>99.443065072653411</v>
      </c>
      <c r="S167" s="1311">
        <f>S158*VLOOKUP('IV. LCOE, Baseline Energy Mix'!S$13,'VII. Additional Data'!$C$17:$V$66,6, FALSE)</f>
        <v>101.25061644289464</v>
      </c>
      <c r="T167" s="1311">
        <f>T158*VLOOKUP('IV. LCOE, Baseline Energy Mix'!T$13,'VII. Additional Data'!$C$17:$V$66,6, FALSE)</f>
        <v>103.05816781313585</v>
      </c>
      <c r="U167" s="1311">
        <f>U158*VLOOKUP('IV. LCOE, Baseline Energy Mix'!U$13,'VII. Additional Data'!$C$17:$V$66,6, FALSE)</f>
        <v>104.86571918337708</v>
      </c>
      <c r="V167" s="1311">
        <f>V158*VLOOKUP('IV. LCOE, Baseline Energy Mix'!V$13,'VII. Additional Data'!$C$17:$V$66,6, FALSE)</f>
        <v>106.67327055361829</v>
      </c>
      <c r="W167" s="1311">
        <f>W158*VLOOKUP('IV. LCOE, Baseline Energy Mix'!W$13,'VII. Additional Data'!$C$17:$V$66,6, FALSE)</f>
        <v>108.48082192385951</v>
      </c>
      <c r="X167" s="1311">
        <f>X158*VLOOKUP('IV. LCOE, Baseline Energy Mix'!X$13,'VII. Additional Data'!$C$17:$V$66,6, FALSE)</f>
        <v>110.28837329410074</v>
      </c>
      <c r="Y167" s="1311">
        <f>Y158*VLOOKUP('IV. LCOE, Baseline Energy Mix'!Y$13,'VII. Additional Data'!$C$17:$V$66,6, FALSE)</f>
        <v>112.09592466434196</v>
      </c>
      <c r="Z167" s="1311">
        <f>Z158*VLOOKUP('IV. LCOE, Baseline Energy Mix'!Z$13,'VII. Additional Data'!$C$17:$V$66,6, FALSE)</f>
        <v>113.90347603458318</v>
      </c>
      <c r="AA167" s="1311">
        <f>AA158*VLOOKUP('IV. LCOE, Baseline Energy Mix'!AA$13,'VII. Additional Data'!$C$17:$V$66,6, FALSE)</f>
        <v>115.71102740482439</v>
      </c>
      <c r="AB167" s="1311">
        <f>AB158*VLOOKUP('IV. LCOE, Baseline Energy Mix'!AB$13,'VII. Additional Data'!$C$17:$V$66,6, FALSE)</f>
        <v>118.31652679791549</v>
      </c>
      <c r="AC167" s="1311">
        <f>AC158*VLOOKUP('IV. LCOE, Baseline Energy Mix'!AC$13,'VII. Additional Data'!$C$17:$V$66,6, FALSE)</f>
        <v>120.92202619100655</v>
      </c>
      <c r="AD167" s="1311">
        <f>AD158*VLOOKUP('IV. LCOE, Baseline Energy Mix'!AD$13,'VII. Additional Data'!$C$17:$V$66,6, FALSE)</f>
        <v>123.52752558409765</v>
      </c>
      <c r="AE167" s="1311">
        <f>AE158*VLOOKUP('IV. LCOE, Baseline Energy Mix'!AE$13,'VII. Additional Data'!$C$17:$V$66,6, FALSE)</f>
        <v>126.13302497718873</v>
      </c>
      <c r="AF167" s="1311">
        <f>AF158*VLOOKUP('IV. LCOE, Baseline Energy Mix'!AF$13,'VII. Additional Data'!$C$17:$V$66,6, FALSE)</f>
        <v>128.7385243702798</v>
      </c>
      <c r="AG167" s="1311">
        <f>AG158*VLOOKUP('IV. LCOE, Baseline Energy Mix'!AG$13,'VII. Additional Data'!$C$17:$V$66,6, FALSE)</f>
        <v>0</v>
      </c>
      <c r="AH167" s="1311">
        <f>AH158*VLOOKUP('IV. LCOE, Baseline Energy Mix'!AH$13,'VII. Additional Data'!$C$17:$V$66,6, FALSE)</f>
        <v>0</v>
      </c>
      <c r="AI167" s="1311">
        <f>AI158*VLOOKUP('IV. LCOE, Baseline Energy Mix'!AI$13,'VII. Additional Data'!$C$17:$V$66,6, FALSE)</f>
        <v>0</v>
      </c>
      <c r="AJ167" s="1311">
        <f>AJ158*VLOOKUP('IV. LCOE, Baseline Energy Mix'!AJ$13,'VII. Additional Data'!$C$17:$V$66,6, FALSE)</f>
        <v>0</v>
      </c>
      <c r="AK167" s="1311">
        <f>AK158*VLOOKUP('IV. LCOE, Baseline Energy Mix'!AK$13,'VII. Additional Data'!$C$17:$V$66,6, FALSE)</f>
        <v>0</v>
      </c>
      <c r="AL167" s="1311">
        <f>AL158*VLOOKUP('IV. LCOE, Baseline Energy Mix'!AL$13,'VII. Additional Data'!$C$17:$V$66,6, FALSE)</f>
        <v>0</v>
      </c>
      <c r="AM167" s="1311">
        <f>AM158*VLOOKUP('IV. LCOE, Baseline Energy Mix'!AM$13,'VII. Additional Data'!$C$17:$V$66,6, FALSE)</f>
        <v>0</v>
      </c>
      <c r="AN167" s="1311">
        <f>AN158*VLOOKUP('IV. LCOE, Baseline Energy Mix'!AN$13,'VII. Additional Data'!$C$17:$V$66,6, FALSE)</f>
        <v>0</v>
      </c>
      <c r="AO167" s="1311">
        <f>AO158*VLOOKUP('IV. LCOE, Baseline Energy Mix'!AO$13,'VII. Additional Data'!$C$17:$V$66,6, FALSE)</f>
        <v>0</v>
      </c>
      <c r="AP167" s="1311">
        <f>AP158*VLOOKUP('IV. LCOE, Baseline Energy Mix'!AP$13,'VII. Additional Data'!$C$17:$V$66,6, FALSE)</f>
        <v>0</v>
      </c>
      <c r="AQ167" s="1311">
        <f>AQ158*VLOOKUP('IV. LCOE, Baseline Energy Mix'!AQ$13,'VII. Additional Data'!$C$17:$V$66,6, FALSE)</f>
        <v>0</v>
      </c>
      <c r="AR167" s="1311">
        <f>AR158*VLOOKUP('IV. LCOE, Baseline Energy Mix'!AR$13,'VII. Additional Data'!$C$17:$V$66,6, FALSE)</f>
        <v>0</v>
      </c>
      <c r="AS167" s="1311">
        <f>AS158*VLOOKUP('IV. LCOE, Baseline Energy Mix'!AS$13,'VII. Additional Data'!$C$17:$V$66,6, FALSE)</f>
        <v>0</v>
      </c>
      <c r="AT167" s="1311">
        <f>AT158*VLOOKUP('IV. LCOE, Baseline Energy Mix'!AT$13,'VII. Additional Data'!$C$17:$V$66,6, FALSE)</f>
        <v>0</v>
      </c>
      <c r="AU167" s="1311">
        <f>AU158*VLOOKUP('IV. LCOE, Baseline Energy Mix'!AU$13,'VII. Additional Data'!$C$17:$V$66,6, FALSE)</f>
        <v>0</v>
      </c>
      <c r="AV167" s="1311">
        <f>AV158*VLOOKUP('IV. LCOE, Baseline Energy Mix'!AV$13,'VII. Additional Data'!$C$17:$V$66,6, FALSE)</f>
        <v>0</v>
      </c>
      <c r="AW167" s="1311">
        <f>AW158*VLOOKUP('IV. LCOE, Baseline Energy Mix'!AW$13,'VII. Additional Data'!$C$17:$V$66,6, FALSE)</f>
        <v>0</v>
      </c>
      <c r="AX167" s="1311">
        <f>AX158*VLOOKUP('IV. LCOE, Baseline Energy Mix'!AX$13,'VII. Additional Data'!$C$17:$V$66,6, FALSE)</f>
        <v>0</v>
      </c>
      <c r="AY167" s="1311">
        <f>AY158*VLOOKUP('IV. LCOE, Baseline Energy Mix'!AY$13,'VII. Additional Data'!$C$17:$V$66,6, FALSE)</f>
        <v>0</v>
      </c>
      <c r="AZ167" s="1311">
        <f>AZ158*VLOOKUP('IV. LCOE, Baseline Energy Mix'!AZ$13,'VII. Additional Data'!$C$17:$V$66,6, FALSE)</f>
        <v>0</v>
      </c>
      <c r="BA167" s="1311">
        <f>BA158*VLOOKUP('IV. LCOE, Baseline Energy Mix'!BA$13,'VII. Additional Data'!$C$17:$V$66,6, FALSE)</f>
        <v>0</v>
      </c>
      <c r="BB167" s="1311">
        <f>BB158*VLOOKUP('IV. LCOE, Baseline Energy Mix'!BB$13,'VII. Additional Data'!$C$17:$V$66,6, FALSE)</f>
        <v>0</v>
      </c>
      <c r="BC167" s="1311">
        <f>BC158*VLOOKUP('IV. LCOE, Baseline Energy Mix'!BC$13,'VII. Additional Data'!$C$17:$V$66,6, FALSE)</f>
        <v>0</v>
      </c>
      <c r="BD167" s="1311">
        <f>BD158*VLOOKUP('IV. LCOE, Baseline Energy Mix'!BD$13,'VII. Additional Data'!$C$17:$V$66,6, FALSE)</f>
        <v>0</v>
      </c>
      <c r="BE167" s="1312">
        <f>BE158*VLOOKUP('IV. LCOE, Baseline Energy Mix'!BE$13,'VII. Additional Data'!$C$17:$V$66,6, FALSE)</f>
        <v>0</v>
      </c>
    </row>
    <row r="168" spans="2:57" outlineLevel="1" x14ac:dyDescent="0.25">
      <c r="B168" s="303"/>
      <c r="C168" s="304" t="s">
        <v>160</v>
      </c>
      <c r="D168" s="304"/>
      <c r="E168" s="307"/>
      <c r="F168" s="307"/>
      <c r="G168" s="304"/>
      <c r="H168" s="1311">
        <f xml:space="preserve"> H158*'II. Inputs, Baseline Energy Mix'!$Q$98*(1+'II. Inputs, Baseline Energy Mix'!$Q$99)^('IV. LCOE, Baseline Energy Mix'!H$13-1)</f>
        <v>0</v>
      </c>
      <c r="I168" s="1311">
        <f xml:space="preserve"> I158*'II. Inputs, Baseline Energy Mix'!$Q$98*(1+'II. Inputs, Baseline Energy Mix'!$Q$99)^('IV. LCOE, Baseline Energy Mix'!I$13-1)</f>
        <v>0</v>
      </c>
      <c r="J168" s="1311">
        <f xml:space="preserve"> J158*'II. Inputs, Baseline Energy Mix'!$Q$98*(1+'II. Inputs, Baseline Energy Mix'!$Q$99)^('IV. LCOE, Baseline Energy Mix'!J$13-1)</f>
        <v>0</v>
      </c>
      <c r="K168" s="1311">
        <f xml:space="preserve"> K158*'II. Inputs, Baseline Energy Mix'!$Q$98*(1+'II. Inputs, Baseline Energy Mix'!$Q$99)^('IV. LCOE, Baseline Energy Mix'!K$13-1)</f>
        <v>0</v>
      </c>
      <c r="L168" s="1311">
        <f xml:space="preserve"> L158*'II. Inputs, Baseline Energy Mix'!$Q$98*(1+'II. Inputs, Baseline Energy Mix'!$Q$99)^('IV. LCOE, Baseline Energy Mix'!L$13-1)</f>
        <v>0</v>
      </c>
      <c r="M168" s="1311">
        <f xml:space="preserve"> M158*'II. Inputs, Baseline Energy Mix'!$Q$98*(1+'II. Inputs, Baseline Energy Mix'!$Q$99)^('IV. LCOE, Baseline Energy Mix'!M$13-1)</f>
        <v>0</v>
      </c>
      <c r="N168" s="1311">
        <f xml:space="preserve"> N158*'II. Inputs, Baseline Energy Mix'!$Q$98*(1+'II. Inputs, Baseline Energy Mix'!$Q$99)^('IV. LCOE, Baseline Energy Mix'!N$13-1)</f>
        <v>0</v>
      </c>
      <c r="O168" s="1311">
        <f xml:space="preserve"> O158*'II. Inputs, Baseline Energy Mix'!$Q$98*(1+'II. Inputs, Baseline Energy Mix'!$Q$99)^('IV. LCOE, Baseline Energy Mix'!O$13-1)</f>
        <v>0</v>
      </c>
      <c r="P168" s="1311">
        <f xml:space="preserve"> P158*'II. Inputs, Baseline Energy Mix'!$Q$98*(1+'II. Inputs, Baseline Energy Mix'!$Q$99)^('IV. LCOE, Baseline Energy Mix'!P$13-1)</f>
        <v>0</v>
      </c>
      <c r="Q168" s="1311">
        <f xml:space="preserve"> Q158*'II. Inputs, Baseline Energy Mix'!$Q$98*(1+'II. Inputs, Baseline Energy Mix'!$Q$99)^('IV. LCOE, Baseline Energy Mix'!Q$13-1)</f>
        <v>0</v>
      </c>
      <c r="R168" s="1311">
        <f xml:space="preserve"> R158*'II. Inputs, Baseline Energy Mix'!$Q$98*(1+'II. Inputs, Baseline Energy Mix'!$Q$99)^('IV. LCOE, Baseline Energy Mix'!R$13-1)</f>
        <v>0</v>
      </c>
      <c r="S168" s="1311">
        <f xml:space="preserve"> S158*'II. Inputs, Baseline Energy Mix'!$Q$98*(1+'II. Inputs, Baseline Energy Mix'!$Q$99)^('IV. LCOE, Baseline Energy Mix'!S$13-1)</f>
        <v>0</v>
      </c>
      <c r="T168" s="1311">
        <f xml:space="preserve"> T158*'II. Inputs, Baseline Energy Mix'!$Q$98*(1+'II. Inputs, Baseline Energy Mix'!$Q$99)^('IV. LCOE, Baseline Energy Mix'!T$13-1)</f>
        <v>0</v>
      </c>
      <c r="U168" s="1311">
        <f xml:space="preserve"> U158*'II. Inputs, Baseline Energy Mix'!$Q$98*(1+'II. Inputs, Baseline Energy Mix'!$Q$99)^('IV. LCOE, Baseline Energy Mix'!U$13-1)</f>
        <v>0</v>
      </c>
      <c r="V168" s="1311">
        <f xml:space="preserve"> V158*'II. Inputs, Baseline Energy Mix'!$Q$98*(1+'II. Inputs, Baseline Energy Mix'!$Q$99)^('IV. LCOE, Baseline Energy Mix'!V$13-1)</f>
        <v>0</v>
      </c>
      <c r="W168" s="1311">
        <f xml:space="preserve"> W158*'II. Inputs, Baseline Energy Mix'!$Q$98*(1+'II. Inputs, Baseline Energy Mix'!$Q$99)^('IV. LCOE, Baseline Energy Mix'!W$13-1)</f>
        <v>0</v>
      </c>
      <c r="X168" s="1311">
        <f xml:space="preserve"> X158*'II. Inputs, Baseline Energy Mix'!$Q$98*(1+'II. Inputs, Baseline Energy Mix'!$Q$99)^('IV. LCOE, Baseline Energy Mix'!X$13-1)</f>
        <v>0</v>
      </c>
      <c r="Y168" s="1311">
        <f xml:space="preserve"> Y158*'II. Inputs, Baseline Energy Mix'!$Q$98*(1+'II. Inputs, Baseline Energy Mix'!$Q$99)^('IV. LCOE, Baseline Energy Mix'!Y$13-1)</f>
        <v>0</v>
      </c>
      <c r="Z168" s="1311">
        <f xml:space="preserve"> Z158*'II. Inputs, Baseline Energy Mix'!$Q$98*(1+'II. Inputs, Baseline Energy Mix'!$Q$99)^('IV. LCOE, Baseline Energy Mix'!Z$13-1)</f>
        <v>0</v>
      </c>
      <c r="AA168" s="1311">
        <f xml:space="preserve"> AA158*'II. Inputs, Baseline Energy Mix'!$Q$98*(1+'II. Inputs, Baseline Energy Mix'!$Q$99)^('IV. LCOE, Baseline Energy Mix'!AA$13-1)</f>
        <v>0</v>
      </c>
      <c r="AB168" s="1311">
        <f xml:space="preserve"> AB158*'II. Inputs, Baseline Energy Mix'!$Q$98*(1+'II. Inputs, Baseline Energy Mix'!$Q$99)^('IV. LCOE, Baseline Energy Mix'!AB$13-1)</f>
        <v>0</v>
      </c>
      <c r="AC168" s="1311">
        <f xml:space="preserve"> AC158*'II. Inputs, Baseline Energy Mix'!$Q$98*(1+'II. Inputs, Baseline Energy Mix'!$Q$99)^('IV. LCOE, Baseline Energy Mix'!AC$13-1)</f>
        <v>0</v>
      </c>
      <c r="AD168" s="1311">
        <f xml:space="preserve"> AD158*'II. Inputs, Baseline Energy Mix'!$Q$98*(1+'II. Inputs, Baseline Energy Mix'!$Q$99)^('IV. LCOE, Baseline Energy Mix'!AD$13-1)</f>
        <v>0</v>
      </c>
      <c r="AE168" s="1311">
        <f xml:space="preserve"> AE158*'II. Inputs, Baseline Energy Mix'!$Q$98*(1+'II. Inputs, Baseline Energy Mix'!$Q$99)^('IV. LCOE, Baseline Energy Mix'!AE$13-1)</f>
        <v>0</v>
      </c>
      <c r="AF168" s="1311">
        <f xml:space="preserve"> AF158*'II. Inputs, Baseline Energy Mix'!$Q$98*(1+'II. Inputs, Baseline Energy Mix'!$Q$99)^('IV. LCOE, Baseline Energy Mix'!AF$13-1)</f>
        <v>0</v>
      </c>
      <c r="AG168" s="1311">
        <f xml:space="preserve"> AG158*'II. Inputs, Baseline Energy Mix'!$Q$98*(1+'II. Inputs, Baseline Energy Mix'!$Q$99)^('IV. LCOE, Baseline Energy Mix'!AG$13-1)</f>
        <v>0</v>
      </c>
      <c r="AH168" s="1311">
        <f xml:space="preserve"> AH158*'II. Inputs, Baseline Energy Mix'!$Q$98*(1+'II. Inputs, Baseline Energy Mix'!$Q$99)^('IV. LCOE, Baseline Energy Mix'!AH$13-1)</f>
        <v>0</v>
      </c>
      <c r="AI168" s="1311">
        <f xml:space="preserve"> AI158*'II. Inputs, Baseline Energy Mix'!$Q$98*(1+'II. Inputs, Baseline Energy Mix'!$Q$99)^('IV. LCOE, Baseline Energy Mix'!AI$13-1)</f>
        <v>0</v>
      </c>
      <c r="AJ168" s="1311">
        <f xml:space="preserve"> AJ158*'II. Inputs, Baseline Energy Mix'!$Q$98*(1+'II. Inputs, Baseline Energy Mix'!$Q$99)^('IV. LCOE, Baseline Energy Mix'!AJ$13-1)</f>
        <v>0</v>
      </c>
      <c r="AK168" s="1311">
        <f xml:space="preserve"> AK158*'II. Inputs, Baseline Energy Mix'!$Q$98*(1+'II. Inputs, Baseline Energy Mix'!$Q$99)^('IV. LCOE, Baseline Energy Mix'!AK$13-1)</f>
        <v>0</v>
      </c>
      <c r="AL168" s="1311">
        <f xml:space="preserve"> AL158*'II. Inputs, Baseline Energy Mix'!$Q$98*(1+'II. Inputs, Baseline Energy Mix'!$Q$99)^('IV. LCOE, Baseline Energy Mix'!AL$13-1)</f>
        <v>0</v>
      </c>
      <c r="AM168" s="1311">
        <f xml:space="preserve"> AM158*'II. Inputs, Baseline Energy Mix'!$Q$98*(1+'II. Inputs, Baseline Energy Mix'!$Q$99)^('IV. LCOE, Baseline Energy Mix'!AM$13-1)</f>
        <v>0</v>
      </c>
      <c r="AN168" s="1311">
        <f xml:space="preserve"> AN158*'II. Inputs, Baseline Energy Mix'!$Q$98*(1+'II. Inputs, Baseline Energy Mix'!$Q$99)^('IV. LCOE, Baseline Energy Mix'!AN$13-1)</f>
        <v>0</v>
      </c>
      <c r="AO168" s="1311">
        <f xml:space="preserve"> AO158*'II. Inputs, Baseline Energy Mix'!$Q$98*(1+'II. Inputs, Baseline Energy Mix'!$Q$99)^('IV. LCOE, Baseline Energy Mix'!AO$13-1)</f>
        <v>0</v>
      </c>
      <c r="AP168" s="1311">
        <f xml:space="preserve"> AP158*'II. Inputs, Baseline Energy Mix'!$Q$98*(1+'II. Inputs, Baseline Energy Mix'!$Q$99)^('IV. LCOE, Baseline Energy Mix'!AP$13-1)</f>
        <v>0</v>
      </c>
      <c r="AQ168" s="1311">
        <f xml:space="preserve"> AQ158*'II. Inputs, Baseline Energy Mix'!$Q$98*(1+'II. Inputs, Baseline Energy Mix'!$Q$99)^('IV. LCOE, Baseline Energy Mix'!AQ$13-1)</f>
        <v>0</v>
      </c>
      <c r="AR168" s="1311">
        <f xml:space="preserve"> AR158*'II. Inputs, Baseline Energy Mix'!$Q$98*(1+'II. Inputs, Baseline Energy Mix'!$Q$99)^('IV. LCOE, Baseline Energy Mix'!AR$13-1)</f>
        <v>0</v>
      </c>
      <c r="AS168" s="1311">
        <f xml:space="preserve"> AS158*'II. Inputs, Baseline Energy Mix'!$Q$98*(1+'II. Inputs, Baseline Energy Mix'!$Q$99)^('IV. LCOE, Baseline Energy Mix'!AS$13-1)</f>
        <v>0</v>
      </c>
      <c r="AT168" s="1311">
        <f xml:space="preserve"> AT158*'II. Inputs, Baseline Energy Mix'!$Q$98*(1+'II. Inputs, Baseline Energy Mix'!$Q$99)^('IV. LCOE, Baseline Energy Mix'!AT$13-1)</f>
        <v>0</v>
      </c>
      <c r="AU168" s="1311">
        <f xml:space="preserve"> AU158*'II. Inputs, Baseline Energy Mix'!$Q$98*(1+'II. Inputs, Baseline Energy Mix'!$Q$99)^('IV. LCOE, Baseline Energy Mix'!AU$13-1)</f>
        <v>0</v>
      </c>
      <c r="AV168" s="1311">
        <f xml:space="preserve"> AV158*'II. Inputs, Baseline Energy Mix'!$Q$98*(1+'II. Inputs, Baseline Energy Mix'!$Q$99)^('IV. LCOE, Baseline Energy Mix'!AV$13-1)</f>
        <v>0</v>
      </c>
      <c r="AW168" s="1311">
        <f xml:space="preserve"> AW158*'II. Inputs, Baseline Energy Mix'!$Q$98*(1+'II. Inputs, Baseline Energy Mix'!$Q$99)^('IV. LCOE, Baseline Energy Mix'!AW$13-1)</f>
        <v>0</v>
      </c>
      <c r="AX168" s="1311">
        <f xml:space="preserve"> AX158*'II. Inputs, Baseline Energy Mix'!$Q$98*(1+'II. Inputs, Baseline Energy Mix'!$Q$99)^('IV. LCOE, Baseline Energy Mix'!AX$13-1)</f>
        <v>0</v>
      </c>
      <c r="AY168" s="1311">
        <f xml:space="preserve"> AY158*'II. Inputs, Baseline Energy Mix'!$Q$98*(1+'II. Inputs, Baseline Energy Mix'!$Q$99)^('IV. LCOE, Baseline Energy Mix'!AY$13-1)</f>
        <v>0</v>
      </c>
      <c r="AZ168" s="1311">
        <f xml:space="preserve"> AZ158*'II. Inputs, Baseline Energy Mix'!$Q$98*(1+'II. Inputs, Baseline Energy Mix'!$Q$99)^('IV. LCOE, Baseline Energy Mix'!AZ$13-1)</f>
        <v>0</v>
      </c>
      <c r="BA168" s="1311">
        <f xml:space="preserve"> BA158*'II. Inputs, Baseline Energy Mix'!$Q$98*(1+'II. Inputs, Baseline Energy Mix'!$Q$99)^('IV. LCOE, Baseline Energy Mix'!BA$13-1)</f>
        <v>0</v>
      </c>
      <c r="BB168" s="1311">
        <f xml:space="preserve"> BB158*'II. Inputs, Baseline Energy Mix'!$Q$98*(1+'II. Inputs, Baseline Energy Mix'!$Q$99)^('IV. LCOE, Baseline Energy Mix'!BB$13-1)</f>
        <v>0</v>
      </c>
      <c r="BC168" s="1311">
        <f xml:space="preserve"> BC158*'II. Inputs, Baseline Energy Mix'!$Q$98*(1+'II. Inputs, Baseline Energy Mix'!$Q$99)^('IV. LCOE, Baseline Energy Mix'!BC$13-1)</f>
        <v>0</v>
      </c>
      <c r="BD168" s="1311">
        <f xml:space="preserve"> BD158*'II. Inputs, Baseline Energy Mix'!$Q$98*(1+'II. Inputs, Baseline Energy Mix'!$Q$99)^('IV. LCOE, Baseline Energy Mix'!BD$13-1)</f>
        <v>0</v>
      </c>
      <c r="BE168" s="1312">
        <f xml:space="preserve"> BE158*'II. Inputs, Baseline Energy Mix'!$Q$98*(1+'II. Inputs, Baseline Energy Mix'!$Q$99)^('IV. LCOE, Baseline Energy Mix'!BE$13-1)</f>
        <v>0</v>
      </c>
    </row>
    <row r="169" spans="2:57" outlineLevel="1" x14ac:dyDescent="0.25">
      <c r="B169" s="303"/>
      <c r="C169" s="304" t="s">
        <v>161</v>
      </c>
      <c r="D169" s="304"/>
      <c r="E169" s="307"/>
      <c r="F169" s="307"/>
      <c r="G169" s="304"/>
      <c r="H169" s="1311">
        <f xml:space="preserve"> H158*VLOOKUP('IV. LCOE, Baseline Energy Mix'!H$13,'VII. Additional Data'!$C$17:$V$66,12, FALSE)</f>
        <v>0</v>
      </c>
      <c r="I169" s="1311">
        <f xml:space="preserve"> I158*VLOOKUP('IV. LCOE, Baseline Energy Mix'!I$13,'VII. Additional Data'!$C$17:$V$66,12, FALSE)</f>
        <v>0</v>
      </c>
      <c r="J169" s="1311">
        <f xml:space="preserve"> J158*VLOOKUP('IV. LCOE, Baseline Energy Mix'!J$13,'VII. Additional Data'!$C$17:$V$66,12, FALSE)</f>
        <v>0</v>
      </c>
      <c r="K169" s="1311">
        <f xml:space="preserve"> K158*VLOOKUP('IV. LCOE, Baseline Energy Mix'!K$13,'VII. Additional Data'!$C$17:$V$66,12, FALSE)</f>
        <v>0</v>
      </c>
      <c r="L169" s="1311">
        <f xml:space="preserve"> L158*VLOOKUP('IV. LCOE, Baseline Energy Mix'!L$13,'VII. Additional Data'!$C$17:$V$66,12, FALSE)</f>
        <v>0</v>
      </c>
      <c r="M169" s="1311">
        <f xml:space="preserve"> M158*VLOOKUP('IV. LCOE, Baseline Energy Mix'!M$13,'VII. Additional Data'!$C$17:$V$66,12, FALSE)</f>
        <v>0</v>
      </c>
      <c r="N169" s="1311">
        <f xml:space="preserve"> N158*VLOOKUP('IV. LCOE, Baseline Energy Mix'!N$13,'VII. Additional Data'!$C$17:$V$66,12, FALSE)</f>
        <v>0</v>
      </c>
      <c r="O169" s="1311">
        <f xml:space="preserve"> O158*VLOOKUP('IV. LCOE, Baseline Energy Mix'!O$13,'VII. Additional Data'!$C$17:$V$66,12, FALSE)</f>
        <v>0</v>
      </c>
      <c r="P169" s="1311">
        <f xml:space="preserve"> P158*VLOOKUP('IV. LCOE, Baseline Energy Mix'!P$13,'VII. Additional Data'!$C$17:$V$66,12, FALSE)</f>
        <v>0</v>
      </c>
      <c r="Q169" s="1311">
        <f xml:space="preserve"> Q158*VLOOKUP('IV. LCOE, Baseline Energy Mix'!Q$13,'VII. Additional Data'!$C$17:$V$66,12, FALSE)</f>
        <v>0</v>
      </c>
      <c r="R169" s="1311">
        <f xml:space="preserve"> R158*VLOOKUP('IV. LCOE, Baseline Energy Mix'!R$13,'VII. Additional Data'!$C$17:$V$66,12, FALSE)</f>
        <v>0</v>
      </c>
      <c r="S169" s="1311">
        <f xml:space="preserve"> S158*VLOOKUP('IV. LCOE, Baseline Energy Mix'!S$13,'VII. Additional Data'!$C$17:$V$66,12, FALSE)</f>
        <v>0</v>
      </c>
      <c r="T169" s="1311">
        <f xml:space="preserve"> T158*VLOOKUP('IV. LCOE, Baseline Energy Mix'!T$13,'VII. Additional Data'!$C$17:$V$66,12, FALSE)</f>
        <v>0</v>
      </c>
      <c r="U169" s="1311">
        <f xml:space="preserve"> U158*VLOOKUP('IV. LCOE, Baseline Energy Mix'!U$13,'VII. Additional Data'!$C$17:$V$66,12, FALSE)</f>
        <v>0</v>
      </c>
      <c r="V169" s="1311">
        <f xml:space="preserve"> V158*VLOOKUP('IV. LCOE, Baseline Energy Mix'!V$13,'VII. Additional Data'!$C$17:$V$66,12, FALSE)</f>
        <v>0</v>
      </c>
      <c r="W169" s="1311">
        <f xml:space="preserve"> W158*VLOOKUP('IV. LCOE, Baseline Energy Mix'!W$13,'VII. Additional Data'!$C$17:$V$66,12, FALSE)</f>
        <v>0</v>
      </c>
      <c r="X169" s="1311">
        <f xml:space="preserve"> X158*VLOOKUP('IV. LCOE, Baseline Energy Mix'!X$13,'VII. Additional Data'!$C$17:$V$66,12, FALSE)</f>
        <v>0</v>
      </c>
      <c r="Y169" s="1311">
        <f xml:space="preserve"> Y158*VLOOKUP('IV. LCOE, Baseline Energy Mix'!Y$13,'VII. Additional Data'!$C$17:$V$66,12, FALSE)</f>
        <v>0</v>
      </c>
      <c r="Z169" s="1311">
        <f xml:space="preserve"> Z158*VLOOKUP('IV. LCOE, Baseline Energy Mix'!Z$13,'VII. Additional Data'!$C$17:$V$66,12, FALSE)</f>
        <v>0</v>
      </c>
      <c r="AA169" s="1311">
        <f xml:space="preserve"> AA158*VLOOKUP('IV. LCOE, Baseline Energy Mix'!AA$13,'VII. Additional Data'!$C$17:$V$66,12, FALSE)</f>
        <v>0</v>
      </c>
      <c r="AB169" s="1311">
        <f xml:space="preserve"> AB158*VLOOKUP('IV. LCOE, Baseline Energy Mix'!AB$13,'VII. Additional Data'!$C$17:$V$66,12, FALSE)</f>
        <v>0</v>
      </c>
      <c r="AC169" s="1311">
        <f xml:space="preserve"> AC158*VLOOKUP('IV. LCOE, Baseline Energy Mix'!AC$13,'VII. Additional Data'!$C$17:$V$66,12, FALSE)</f>
        <v>0</v>
      </c>
      <c r="AD169" s="1311">
        <f xml:space="preserve"> AD158*VLOOKUP('IV. LCOE, Baseline Energy Mix'!AD$13,'VII. Additional Data'!$C$17:$V$66,12, FALSE)</f>
        <v>0</v>
      </c>
      <c r="AE169" s="1311">
        <f xml:space="preserve"> AE158*VLOOKUP('IV. LCOE, Baseline Energy Mix'!AE$13,'VII. Additional Data'!$C$17:$V$66,12, FALSE)</f>
        <v>0</v>
      </c>
      <c r="AF169" s="1311">
        <f xml:space="preserve"> AF158*VLOOKUP('IV. LCOE, Baseline Energy Mix'!AF$13,'VII. Additional Data'!$C$17:$V$66,12, FALSE)</f>
        <v>0</v>
      </c>
      <c r="AG169" s="1311">
        <f xml:space="preserve"> AG158*VLOOKUP('IV. LCOE, Baseline Energy Mix'!AG$13,'VII. Additional Data'!$C$17:$V$66,12, FALSE)</f>
        <v>0</v>
      </c>
      <c r="AH169" s="1311">
        <f xml:space="preserve"> AH158*VLOOKUP('IV. LCOE, Baseline Energy Mix'!AH$13,'VII. Additional Data'!$C$17:$V$66,12, FALSE)</f>
        <v>0</v>
      </c>
      <c r="AI169" s="1311">
        <f xml:space="preserve"> AI158*VLOOKUP('IV. LCOE, Baseline Energy Mix'!AI$13,'VII. Additional Data'!$C$17:$V$66,12, FALSE)</f>
        <v>0</v>
      </c>
      <c r="AJ169" s="1311">
        <f xml:space="preserve"> AJ158*VLOOKUP('IV. LCOE, Baseline Energy Mix'!AJ$13,'VII. Additional Data'!$C$17:$V$66,12, FALSE)</f>
        <v>0</v>
      </c>
      <c r="AK169" s="1311">
        <f xml:space="preserve"> AK158*VLOOKUP('IV. LCOE, Baseline Energy Mix'!AK$13,'VII. Additional Data'!$C$17:$V$66,12, FALSE)</f>
        <v>0</v>
      </c>
      <c r="AL169" s="1311">
        <f xml:space="preserve"> AL158*VLOOKUP('IV. LCOE, Baseline Energy Mix'!AL$13,'VII. Additional Data'!$C$17:$V$66,12, FALSE)</f>
        <v>0</v>
      </c>
      <c r="AM169" s="1311">
        <f xml:space="preserve"> AM158*VLOOKUP('IV. LCOE, Baseline Energy Mix'!AM$13,'VII. Additional Data'!$C$17:$V$66,12, FALSE)</f>
        <v>0</v>
      </c>
      <c r="AN169" s="1311">
        <f xml:space="preserve"> AN158*VLOOKUP('IV. LCOE, Baseline Energy Mix'!AN$13,'VII. Additional Data'!$C$17:$V$66,12, FALSE)</f>
        <v>0</v>
      </c>
      <c r="AO169" s="1311">
        <f xml:space="preserve"> AO158*VLOOKUP('IV. LCOE, Baseline Energy Mix'!AO$13,'VII. Additional Data'!$C$17:$V$66,12, FALSE)</f>
        <v>0</v>
      </c>
      <c r="AP169" s="1311">
        <f xml:space="preserve"> AP158*VLOOKUP('IV. LCOE, Baseline Energy Mix'!AP$13,'VII. Additional Data'!$C$17:$V$66,12, FALSE)</f>
        <v>0</v>
      </c>
      <c r="AQ169" s="1311">
        <f xml:space="preserve"> AQ158*VLOOKUP('IV. LCOE, Baseline Energy Mix'!AQ$13,'VII. Additional Data'!$C$17:$V$66,12, FALSE)</f>
        <v>0</v>
      </c>
      <c r="AR169" s="1311">
        <f xml:space="preserve"> AR158*VLOOKUP('IV. LCOE, Baseline Energy Mix'!AR$13,'VII. Additional Data'!$C$17:$V$66,12, FALSE)</f>
        <v>0</v>
      </c>
      <c r="AS169" s="1311">
        <f xml:space="preserve"> AS158*VLOOKUP('IV. LCOE, Baseline Energy Mix'!AS$13,'VII. Additional Data'!$C$17:$V$66,12, FALSE)</f>
        <v>0</v>
      </c>
      <c r="AT169" s="1311">
        <f xml:space="preserve"> AT158*VLOOKUP('IV. LCOE, Baseline Energy Mix'!AT$13,'VII. Additional Data'!$C$17:$V$66,12, FALSE)</f>
        <v>0</v>
      </c>
      <c r="AU169" s="1311">
        <f xml:space="preserve"> AU158*VLOOKUP('IV. LCOE, Baseline Energy Mix'!AU$13,'VII. Additional Data'!$C$17:$V$66,12, FALSE)</f>
        <v>0</v>
      </c>
      <c r="AV169" s="1311">
        <f xml:space="preserve"> AV158*VLOOKUP('IV. LCOE, Baseline Energy Mix'!AV$13,'VII. Additional Data'!$C$17:$V$66,12, FALSE)</f>
        <v>0</v>
      </c>
      <c r="AW169" s="1311">
        <f xml:space="preserve"> AW158*VLOOKUP('IV. LCOE, Baseline Energy Mix'!AW$13,'VII. Additional Data'!$C$17:$V$66,12, FALSE)</f>
        <v>0</v>
      </c>
      <c r="AX169" s="1311">
        <f xml:space="preserve"> AX158*VLOOKUP('IV. LCOE, Baseline Energy Mix'!AX$13,'VII. Additional Data'!$C$17:$V$66,12, FALSE)</f>
        <v>0</v>
      </c>
      <c r="AY169" s="1311">
        <f xml:space="preserve"> AY158*VLOOKUP('IV. LCOE, Baseline Energy Mix'!AY$13,'VII. Additional Data'!$C$17:$V$66,12, FALSE)</f>
        <v>0</v>
      </c>
      <c r="AZ169" s="1311">
        <f xml:space="preserve"> AZ158*VLOOKUP('IV. LCOE, Baseline Energy Mix'!AZ$13,'VII. Additional Data'!$C$17:$V$66,12, FALSE)</f>
        <v>0</v>
      </c>
      <c r="BA169" s="1311">
        <f xml:space="preserve"> BA158*VLOOKUP('IV. LCOE, Baseline Energy Mix'!BA$13,'VII. Additional Data'!$C$17:$V$66,12, FALSE)</f>
        <v>0</v>
      </c>
      <c r="BB169" s="1311">
        <f xml:space="preserve"> BB158*VLOOKUP('IV. LCOE, Baseline Energy Mix'!BB$13,'VII. Additional Data'!$C$17:$V$66,12, FALSE)</f>
        <v>0</v>
      </c>
      <c r="BC169" s="1311">
        <f xml:space="preserve"> BC158*VLOOKUP('IV. LCOE, Baseline Energy Mix'!BC$13,'VII. Additional Data'!$C$17:$V$66,12, FALSE)</f>
        <v>0</v>
      </c>
      <c r="BD169" s="1311">
        <f xml:space="preserve"> BD158*VLOOKUP('IV. LCOE, Baseline Energy Mix'!BD$13,'VII. Additional Data'!$C$17:$V$66,12, FALSE)</f>
        <v>0</v>
      </c>
      <c r="BE169" s="1312">
        <f xml:space="preserve"> BE158*VLOOKUP('IV. LCOE, Baseline Energy Mix'!BE$13,'VII. Additional Data'!$C$17:$V$66,12, FALSE)</f>
        <v>0</v>
      </c>
    </row>
    <row r="170" spans="2:57" outlineLevel="1" x14ac:dyDescent="0.25">
      <c r="B170" s="303"/>
      <c r="C170" s="304" t="s">
        <v>162</v>
      </c>
      <c r="D170" s="304"/>
      <c r="E170" s="307"/>
      <c r="F170" s="307"/>
      <c r="G170" s="304"/>
      <c r="H170" s="1311">
        <f xml:space="preserve"> H158*VLOOKUP('IV. LCOE, Baseline Energy Mix'!H$13,'VII. Additional Data'!$C$17:$V$66,18, FALSE)</f>
        <v>65.094041096192981</v>
      </c>
      <c r="I170" s="1311">
        <f xml:space="preserve"> I158*VLOOKUP('IV. LCOE, Baseline Energy Mix'!I$13,'VII. Additional Data'!$C$17:$V$66,18, FALSE)</f>
        <v>66.540082192385952</v>
      </c>
      <c r="J170" s="1311">
        <f xml:space="preserve"> J158*VLOOKUP('IV. LCOE, Baseline Energy Mix'!J$13,'VII. Additional Data'!$C$17:$V$66,18, FALSE)</f>
        <v>67.986123288578924</v>
      </c>
      <c r="K170" s="1311">
        <f xml:space="preserve"> K158*VLOOKUP('IV. LCOE, Baseline Energy Mix'!K$13,'VII. Additional Data'!$C$17:$V$66,18, FALSE)</f>
        <v>69.432164384771909</v>
      </c>
      <c r="L170" s="1311">
        <f xml:space="preserve"> L158*VLOOKUP('IV. LCOE, Baseline Energy Mix'!L$13,'VII. Additional Data'!$C$17:$V$66,18, FALSE)</f>
        <v>70.87820548096488</v>
      </c>
      <c r="M170" s="1311">
        <f xml:space="preserve"> M158*VLOOKUP('IV. LCOE, Baseline Energy Mix'!M$13,'VII. Additional Data'!$C$17:$V$66,18, FALSE)</f>
        <v>72.324246577157851</v>
      </c>
      <c r="N170" s="1311">
        <f xml:space="preserve"> N158*VLOOKUP('IV. LCOE, Baseline Energy Mix'!N$13,'VII. Additional Data'!$C$17:$V$66,18, FALSE)</f>
        <v>73.770287673350836</v>
      </c>
      <c r="O170" s="1311">
        <f xml:space="preserve"> O158*VLOOKUP('IV. LCOE, Baseline Energy Mix'!O$13,'VII. Additional Data'!$C$17:$V$66,18, FALSE)</f>
        <v>75.216328769543807</v>
      </c>
      <c r="P170" s="1311">
        <f xml:space="preserve"> P158*VLOOKUP('IV. LCOE, Baseline Energy Mix'!P$13,'VII. Additional Data'!$C$17:$V$66,18, FALSE)</f>
        <v>76.662369865736792</v>
      </c>
      <c r="Q170" s="1311">
        <f xml:space="preserve"> Q158*VLOOKUP('IV. LCOE, Baseline Energy Mix'!Q$13,'VII. Additional Data'!$C$17:$V$66,18, FALSE)</f>
        <v>78.108410961929764</v>
      </c>
      <c r="R170" s="1311">
        <f xml:space="preserve"> R158*VLOOKUP('IV. LCOE, Baseline Energy Mix'!R$13,'VII. Additional Data'!$C$17:$V$66,18, FALSE)</f>
        <v>79.554452058122735</v>
      </c>
      <c r="S170" s="1311">
        <f xml:space="preserve"> S158*VLOOKUP('IV. LCOE, Baseline Energy Mix'!S$13,'VII. Additional Data'!$C$17:$V$66,18, FALSE)</f>
        <v>81.00049315431572</v>
      </c>
      <c r="T170" s="1311">
        <f xml:space="preserve"> T158*VLOOKUP('IV. LCOE, Baseline Energy Mix'!T$13,'VII. Additional Data'!$C$17:$V$66,18, FALSE)</f>
        <v>82.446534250508691</v>
      </c>
      <c r="U170" s="1311">
        <f xml:space="preserve"> U158*VLOOKUP('IV. LCOE, Baseline Energy Mix'!U$13,'VII. Additional Data'!$C$17:$V$66,18, FALSE)</f>
        <v>83.892575346701676</v>
      </c>
      <c r="V170" s="1311">
        <f xml:space="preserve"> V158*VLOOKUP('IV. LCOE, Baseline Energy Mix'!V$13,'VII. Additional Data'!$C$17:$V$66,18, FALSE)</f>
        <v>85.338616442894647</v>
      </c>
      <c r="W170" s="1311">
        <f xml:space="preserve"> W158*VLOOKUP('IV. LCOE, Baseline Energy Mix'!W$13,'VII. Additional Data'!$C$17:$V$66,18, FALSE)</f>
        <v>86.784657539087618</v>
      </c>
      <c r="X170" s="1311">
        <f xml:space="preserve"> X158*VLOOKUP('IV. LCOE, Baseline Energy Mix'!X$13,'VII. Additional Data'!$C$17:$V$66,18, FALSE)</f>
        <v>88.230698635280589</v>
      </c>
      <c r="Y170" s="1311">
        <f xml:space="preserve"> Y158*VLOOKUP('IV. LCOE, Baseline Energy Mix'!Y$13,'VII. Additional Data'!$C$17:$V$66,18, FALSE)</f>
        <v>89.676739731473575</v>
      </c>
      <c r="Z170" s="1311">
        <f xml:space="preserve"> Z158*VLOOKUP('IV. LCOE, Baseline Energy Mix'!Z$13,'VII. Additional Data'!$C$17:$V$66,18, FALSE)</f>
        <v>91.122780827666546</v>
      </c>
      <c r="AA170" s="1311">
        <f xml:space="preserve"> AA158*VLOOKUP('IV. LCOE, Baseline Energy Mix'!AA$13,'VII. Additional Data'!$C$17:$V$66,18, FALSE)</f>
        <v>92.568821923859517</v>
      </c>
      <c r="AB170" s="1311">
        <f xml:space="preserve"> AB158*VLOOKUP('IV. LCOE, Baseline Energy Mix'!AB$13,'VII. Additional Data'!$C$17:$V$66,18, FALSE)</f>
        <v>94.653221438332395</v>
      </c>
      <c r="AC170" s="1311">
        <f xml:space="preserve"> AC158*VLOOKUP('IV. LCOE, Baseline Energy Mix'!AC$13,'VII. Additional Data'!$C$17:$V$66,18, FALSE)</f>
        <v>96.737620952805244</v>
      </c>
      <c r="AD170" s="1311">
        <f xml:space="preserve"> AD158*VLOOKUP('IV. LCOE, Baseline Energy Mix'!AD$13,'VII. Additional Data'!$C$17:$V$66,18, FALSE)</f>
        <v>98.822020467278122</v>
      </c>
      <c r="AE170" s="1311">
        <f xml:space="preserve"> AE158*VLOOKUP('IV. LCOE, Baseline Energy Mix'!AE$13,'VII. Additional Data'!$C$17:$V$66,18, FALSE)</f>
        <v>100.90641998175099</v>
      </c>
      <c r="AF170" s="1311">
        <f xml:space="preserve"> AF158*VLOOKUP('IV. LCOE, Baseline Energy Mix'!AF$13,'VII. Additional Data'!$C$17:$V$66,18, FALSE)</f>
        <v>102.99081949622385</v>
      </c>
      <c r="AG170" s="1311">
        <f xml:space="preserve"> AG158*VLOOKUP('IV. LCOE, Baseline Energy Mix'!AG$13,'VII. Additional Data'!$C$17:$V$66,18, FALSE)</f>
        <v>0</v>
      </c>
      <c r="AH170" s="1311">
        <f xml:space="preserve"> AH158*VLOOKUP('IV. LCOE, Baseline Energy Mix'!AH$13,'VII. Additional Data'!$C$17:$V$66,18, FALSE)</f>
        <v>0</v>
      </c>
      <c r="AI170" s="1311">
        <f xml:space="preserve"> AI158*VLOOKUP('IV. LCOE, Baseline Energy Mix'!AI$13,'VII. Additional Data'!$C$17:$V$66,18, FALSE)</f>
        <v>0</v>
      </c>
      <c r="AJ170" s="1311">
        <f xml:space="preserve"> AJ158*VLOOKUP('IV. LCOE, Baseline Energy Mix'!AJ$13,'VII. Additional Data'!$C$17:$V$66,18, FALSE)</f>
        <v>0</v>
      </c>
      <c r="AK170" s="1311">
        <f xml:space="preserve"> AK158*VLOOKUP('IV. LCOE, Baseline Energy Mix'!AK$13,'VII. Additional Data'!$C$17:$V$66,18, FALSE)</f>
        <v>0</v>
      </c>
      <c r="AL170" s="1311">
        <f xml:space="preserve"> AL158*VLOOKUP('IV. LCOE, Baseline Energy Mix'!AL$13,'VII. Additional Data'!$C$17:$V$66,18, FALSE)</f>
        <v>0</v>
      </c>
      <c r="AM170" s="1311">
        <f xml:space="preserve"> AM158*VLOOKUP('IV. LCOE, Baseline Energy Mix'!AM$13,'VII. Additional Data'!$C$17:$V$66,18, FALSE)</f>
        <v>0</v>
      </c>
      <c r="AN170" s="1311">
        <f xml:space="preserve"> AN158*VLOOKUP('IV. LCOE, Baseline Energy Mix'!AN$13,'VII. Additional Data'!$C$17:$V$66,18, FALSE)</f>
        <v>0</v>
      </c>
      <c r="AO170" s="1311">
        <f xml:space="preserve"> AO158*VLOOKUP('IV. LCOE, Baseline Energy Mix'!AO$13,'VII. Additional Data'!$C$17:$V$66,18, FALSE)</f>
        <v>0</v>
      </c>
      <c r="AP170" s="1311">
        <f xml:space="preserve"> AP158*VLOOKUP('IV. LCOE, Baseline Energy Mix'!AP$13,'VII. Additional Data'!$C$17:$V$66,18, FALSE)</f>
        <v>0</v>
      </c>
      <c r="AQ170" s="1311">
        <f xml:space="preserve"> AQ158*VLOOKUP('IV. LCOE, Baseline Energy Mix'!AQ$13,'VII. Additional Data'!$C$17:$V$66,18, FALSE)</f>
        <v>0</v>
      </c>
      <c r="AR170" s="1311">
        <f xml:space="preserve"> AR158*VLOOKUP('IV. LCOE, Baseline Energy Mix'!AR$13,'VII. Additional Data'!$C$17:$V$66,18, FALSE)</f>
        <v>0</v>
      </c>
      <c r="AS170" s="1311">
        <f xml:space="preserve"> AS158*VLOOKUP('IV. LCOE, Baseline Energy Mix'!AS$13,'VII. Additional Data'!$C$17:$V$66,18, FALSE)</f>
        <v>0</v>
      </c>
      <c r="AT170" s="1311">
        <f xml:space="preserve"> AT158*VLOOKUP('IV. LCOE, Baseline Energy Mix'!AT$13,'VII. Additional Data'!$C$17:$V$66,18, FALSE)</f>
        <v>0</v>
      </c>
      <c r="AU170" s="1311">
        <f xml:space="preserve"> AU158*VLOOKUP('IV. LCOE, Baseline Energy Mix'!AU$13,'VII. Additional Data'!$C$17:$V$66,18, FALSE)</f>
        <v>0</v>
      </c>
      <c r="AV170" s="1311">
        <f xml:space="preserve"> AV158*VLOOKUP('IV. LCOE, Baseline Energy Mix'!AV$13,'VII. Additional Data'!$C$17:$V$66,18, FALSE)</f>
        <v>0</v>
      </c>
      <c r="AW170" s="1311">
        <f xml:space="preserve"> AW158*VLOOKUP('IV. LCOE, Baseline Energy Mix'!AW$13,'VII. Additional Data'!$C$17:$V$66,18, FALSE)</f>
        <v>0</v>
      </c>
      <c r="AX170" s="1311">
        <f xml:space="preserve"> AX158*VLOOKUP('IV. LCOE, Baseline Energy Mix'!AX$13,'VII. Additional Data'!$C$17:$V$66,18, FALSE)</f>
        <v>0</v>
      </c>
      <c r="AY170" s="1311">
        <f xml:space="preserve"> AY158*VLOOKUP('IV. LCOE, Baseline Energy Mix'!AY$13,'VII. Additional Data'!$C$17:$V$66,18, FALSE)</f>
        <v>0</v>
      </c>
      <c r="AZ170" s="1311">
        <f xml:space="preserve"> AZ158*VLOOKUP('IV. LCOE, Baseline Energy Mix'!AZ$13,'VII. Additional Data'!$C$17:$V$66,18, FALSE)</f>
        <v>0</v>
      </c>
      <c r="BA170" s="1311">
        <f xml:space="preserve"> BA158*VLOOKUP('IV. LCOE, Baseline Energy Mix'!BA$13,'VII. Additional Data'!$C$17:$V$66,18, FALSE)</f>
        <v>0</v>
      </c>
      <c r="BB170" s="1311">
        <f xml:space="preserve"> BB158*VLOOKUP('IV. LCOE, Baseline Energy Mix'!BB$13,'VII. Additional Data'!$C$17:$V$66,18, FALSE)</f>
        <v>0</v>
      </c>
      <c r="BC170" s="1311">
        <f xml:space="preserve"> BC158*VLOOKUP('IV. LCOE, Baseline Energy Mix'!BC$13,'VII. Additional Data'!$C$17:$V$66,18, FALSE)</f>
        <v>0</v>
      </c>
      <c r="BD170" s="1311">
        <f xml:space="preserve"> BD158*VLOOKUP('IV. LCOE, Baseline Energy Mix'!BD$13,'VII. Additional Data'!$C$17:$V$66,18, FALSE)</f>
        <v>0</v>
      </c>
      <c r="BE170" s="1312">
        <f xml:space="preserve"> BE158*VLOOKUP('IV. LCOE, Baseline Energy Mix'!BE$13,'VII. Additional Data'!$C$17:$V$66,18, FALSE)</f>
        <v>0</v>
      </c>
    </row>
    <row r="171" spans="2:57" outlineLevel="1" x14ac:dyDescent="0.25">
      <c r="B171" s="303"/>
      <c r="C171" s="304"/>
      <c r="D171" s="304"/>
      <c r="E171" s="307"/>
      <c r="F171" s="307"/>
      <c r="G171" s="304"/>
      <c r="H171" s="1184"/>
      <c r="I171" s="1184"/>
      <c r="J171" s="1184"/>
      <c r="K171" s="1184"/>
      <c r="L171" s="1184"/>
      <c r="M171" s="1184"/>
      <c r="N171" s="1184"/>
      <c r="O171" s="1184"/>
      <c r="P171" s="1184"/>
      <c r="Q171" s="1184"/>
      <c r="R171" s="1184"/>
      <c r="S171" s="1184"/>
      <c r="T171" s="1184"/>
      <c r="U171" s="1184"/>
      <c r="V171" s="1184"/>
      <c r="W171" s="1184"/>
      <c r="X171" s="1184"/>
      <c r="Y171" s="1184"/>
      <c r="Z171" s="1184"/>
      <c r="AA171" s="1184"/>
      <c r="AB171" s="1184"/>
      <c r="AC171" s="1184"/>
      <c r="AD171" s="1184"/>
      <c r="AE171" s="1184"/>
      <c r="AF171" s="1184"/>
      <c r="AG171" s="1184"/>
      <c r="AH171" s="1184"/>
      <c r="AI171" s="1184"/>
      <c r="AJ171" s="1184"/>
      <c r="AK171" s="1184"/>
      <c r="AL171" s="1184"/>
      <c r="AM171" s="1184"/>
      <c r="AN171" s="1184"/>
      <c r="AO171" s="1184"/>
      <c r="AP171" s="1184"/>
      <c r="AQ171" s="1184"/>
      <c r="AR171" s="1184"/>
      <c r="AS171" s="1184"/>
      <c r="AT171" s="1184"/>
      <c r="AU171" s="1184"/>
      <c r="AV171" s="1184"/>
      <c r="AW171" s="1184"/>
      <c r="AX171" s="1184"/>
      <c r="AY171" s="1184"/>
      <c r="AZ171" s="1184"/>
      <c r="BA171" s="1184"/>
      <c r="BB171" s="1184"/>
      <c r="BC171" s="1184"/>
      <c r="BD171" s="1184"/>
      <c r="BE171" s="1185"/>
    </row>
    <row r="172" spans="2:57" x14ac:dyDescent="0.25">
      <c r="B172" s="303" t="s">
        <v>138</v>
      </c>
      <c r="C172" s="304"/>
      <c r="D172" s="304"/>
      <c r="E172" s="307"/>
      <c r="F172" s="307" t="s">
        <v>22</v>
      </c>
      <c r="G172" s="314"/>
      <c r="H172" s="1313">
        <f>H166*H160*H158/'II. Inputs, Baseline Energy Mix'!$Q$91</f>
        <v>0</v>
      </c>
      <c r="I172" s="1313">
        <f>I166*I160*I158/'II. Inputs, Baseline Energy Mix'!$Q$91</f>
        <v>0</v>
      </c>
      <c r="J172" s="1313">
        <f>J166*J160*J158/'II. Inputs, Baseline Energy Mix'!$Q$91</f>
        <v>0</v>
      </c>
      <c r="K172" s="1313">
        <f>K166*K160*K158/'II. Inputs, Baseline Energy Mix'!$Q$91</f>
        <v>0</v>
      </c>
      <c r="L172" s="1313">
        <f>L166*L160*L158/'II. Inputs, Baseline Energy Mix'!$Q$91</f>
        <v>0</v>
      </c>
      <c r="M172" s="1313">
        <f>M166*M160*M158/'II. Inputs, Baseline Energy Mix'!$Q$91</f>
        <v>0</v>
      </c>
      <c r="N172" s="1313">
        <f>N166*N160*N158/'II. Inputs, Baseline Energy Mix'!$Q$91</f>
        <v>0</v>
      </c>
      <c r="O172" s="1313">
        <f>O166*O160*O158/'II. Inputs, Baseline Energy Mix'!$Q$91</f>
        <v>0</v>
      </c>
      <c r="P172" s="1313">
        <f>P166*P160*P158/'II. Inputs, Baseline Energy Mix'!$Q$91</f>
        <v>0</v>
      </c>
      <c r="Q172" s="1313">
        <f>Q166*Q160*Q158/'II. Inputs, Baseline Energy Mix'!$Q$91</f>
        <v>0</v>
      </c>
      <c r="R172" s="1313">
        <f>R166*R160*R158/'II. Inputs, Baseline Energy Mix'!$Q$91</f>
        <v>0</v>
      </c>
      <c r="S172" s="1313">
        <f>S166*S160*S158/'II. Inputs, Baseline Energy Mix'!$Q$91</f>
        <v>0</v>
      </c>
      <c r="T172" s="1313">
        <f>T166*T160*T158/'II. Inputs, Baseline Energy Mix'!$Q$91</f>
        <v>0</v>
      </c>
      <c r="U172" s="1313">
        <f>U166*U160*U158/'II. Inputs, Baseline Energy Mix'!$Q$91</f>
        <v>0</v>
      </c>
      <c r="V172" s="1313">
        <f>V166*V160*V158/'II. Inputs, Baseline Energy Mix'!$Q$91</f>
        <v>0</v>
      </c>
      <c r="W172" s="1313">
        <f>W166*W160*W158/'II. Inputs, Baseline Energy Mix'!$Q$91</f>
        <v>0</v>
      </c>
      <c r="X172" s="1313">
        <f>X166*X160*X158/'II. Inputs, Baseline Energy Mix'!$Q$91</f>
        <v>0</v>
      </c>
      <c r="Y172" s="1313">
        <f>Y166*Y160*Y158/'II. Inputs, Baseline Energy Mix'!$Q$91</f>
        <v>0</v>
      </c>
      <c r="Z172" s="1313">
        <f>Z166*Z160*Z158/'II. Inputs, Baseline Energy Mix'!$Q$91</f>
        <v>0</v>
      </c>
      <c r="AA172" s="1313">
        <f>AA166*AA160*AA158/'II. Inputs, Baseline Energy Mix'!$Q$91</f>
        <v>0</v>
      </c>
      <c r="AB172" s="1313">
        <f>AB166*AB160*AB158/'II. Inputs, Baseline Energy Mix'!$Q$91</f>
        <v>0</v>
      </c>
      <c r="AC172" s="1313">
        <f>AC166*AC160*AC158/'II. Inputs, Baseline Energy Mix'!$Q$91</f>
        <v>0</v>
      </c>
      <c r="AD172" s="1313">
        <f>AD166*AD160*AD158/'II. Inputs, Baseline Energy Mix'!$Q$91</f>
        <v>0</v>
      </c>
      <c r="AE172" s="1313">
        <f>AE166*AE160*AE158/'II. Inputs, Baseline Energy Mix'!$Q$91</f>
        <v>0</v>
      </c>
      <c r="AF172" s="1313">
        <f>AF166*AF160*AF158/'II. Inputs, Baseline Energy Mix'!$Q$91</f>
        <v>0</v>
      </c>
      <c r="AG172" s="1313">
        <f>AG166*AG160*AG158/'II. Inputs, Baseline Energy Mix'!$Q$91</f>
        <v>0</v>
      </c>
      <c r="AH172" s="1313">
        <f>AH166*AH160*AH158/'II. Inputs, Baseline Energy Mix'!$Q$91</f>
        <v>0</v>
      </c>
      <c r="AI172" s="1313">
        <f>AI166*AI160*AI158/'II. Inputs, Baseline Energy Mix'!$Q$91</f>
        <v>0</v>
      </c>
      <c r="AJ172" s="1313">
        <f>AJ166*AJ160*AJ158/'II. Inputs, Baseline Energy Mix'!$Q$91</f>
        <v>0</v>
      </c>
      <c r="AK172" s="1313">
        <f>AK166*AK160*AK158/'II. Inputs, Baseline Energy Mix'!$Q$91</f>
        <v>0</v>
      </c>
      <c r="AL172" s="1313">
        <f>AL166*AL160*AL158/'II. Inputs, Baseline Energy Mix'!$Q$91</f>
        <v>0</v>
      </c>
      <c r="AM172" s="1313">
        <f>AM166*AM160*AM158/'II. Inputs, Baseline Energy Mix'!$Q$91</f>
        <v>0</v>
      </c>
      <c r="AN172" s="1313">
        <f>AN166*AN160*AN158/'II. Inputs, Baseline Energy Mix'!$Q$91</f>
        <v>0</v>
      </c>
      <c r="AO172" s="1313">
        <f>AO166*AO160*AO158/'II. Inputs, Baseline Energy Mix'!$Q$91</f>
        <v>0</v>
      </c>
      <c r="AP172" s="1313">
        <f>AP166*AP160*AP158/'II. Inputs, Baseline Energy Mix'!$Q$91</f>
        <v>0</v>
      </c>
      <c r="AQ172" s="1313">
        <f>AQ166*AQ160*AQ158/'II. Inputs, Baseline Energy Mix'!$Q$91</f>
        <v>0</v>
      </c>
      <c r="AR172" s="1313">
        <f>AR166*AR160*AR158/'II. Inputs, Baseline Energy Mix'!$Q$91</f>
        <v>0</v>
      </c>
      <c r="AS172" s="1313">
        <f>AS166*AS160*AS158/'II. Inputs, Baseline Energy Mix'!$Q$91</f>
        <v>0</v>
      </c>
      <c r="AT172" s="1313">
        <f>AT166*AT160*AT158/'II. Inputs, Baseline Energy Mix'!$Q$91</f>
        <v>0</v>
      </c>
      <c r="AU172" s="1313">
        <f>AU166*AU160*AU158/'II. Inputs, Baseline Energy Mix'!$Q$91</f>
        <v>0</v>
      </c>
      <c r="AV172" s="1313">
        <f>AV166*AV160*AV158/'II. Inputs, Baseline Energy Mix'!$Q$91</f>
        <v>0</v>
      </c>
      <c r="AW172" s="1313">
        <f>AW166*AW160*AW158/'II. Inputs, Baseline Energy Mix'!$Q$91</f>
        <v>0</v>
      </c>
      <c r="AX172" s="1313">
        <f>AX166*AX160*AX158/'II. Inputs, Baseline Energy Mix'!$Q$91</f>
        <v>0</v>
      </c>
      <c r="AY172" s="1313">
        <f>AY166*AY160*AY158/'II. Inputs, Baseline Energy Mix'!$Q$91</f>
        <v>0</v>
      </c>
      <c r="AZ172" s="1313">
        <f>AZ166*AZ160*AZ158/'II. Inputs, Baseline Energy Mix'!$Q$91</f>
        <v>0</v>
      </c>
      <c r="BA172" s="1313">
        <f>BA166*BA160*BA158/'II. Inputs, Baseline Energy Mix'!$Q$91</f>
        <v>0</v>
      </c>
      <c r="BB172" s="1313">
        <f>BB166*BB160*BB158/'II. Inputs, Baseline Energy Mix'!$Q$91</f>
        <v>0</v>
      </c>
      <c r="BC172" s="1313">
        <f>BC166*BC160*BC158/'II. Inputs, Baseline Energy Mix'!$Q$91</f>
        <v>0</v>
      </c>
      <c r="BD172" s="1313">
        <f>BD166*BD160*BD158/'II. Inputs, Baseline Energy Mix'!$Q$91</f>
        <v>0</v>
      </c>
      <c r="BE172" s="1314">
        <f>BE166*BE160*BE158/'II. Inputs, Baseline Energy Mix'!$Q$91</f>
        <v>0</v>
      </c>
    </row>
    <row r="173" spans="2:57" x14ac:dyDescent="0.25">
      <c r="B173" s="303"/>
      <c r="C173" s="304"/>
      <c r="D173" s="304"/>
      <c r="E173" s="307"/>
      <c r="F173" s="307"/>
      <c r="G173" s="314"/>
      <c r="H173" s="1313"/>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314"/>
      <c r="AP173" s="314"/>
      <c r="AQ173" s="314"/>
      <c r="AR173" s="314"/>
      <c r="AS173" s="314"/>
      <c r="AT173" s="314"/>
      <c r="AU173" s="314"/>
      <c r="AV173" s="314"/>
      <c r="AW173" s="314"/>
      <c r="AX173" s="314"/>
      <c r="AY173" s="314"/>
      <c r="AZ173" s="314"/>
      <c r="BA173" s="314"/>
      <c r="BB173" s="314"/>
      <c r="BC173" s="314"/>
      <c r="BD173" s="314"/>
      <c r="BE173" s="1315"/>
    </row>
    <row r="174" spans="2:57" x14ac:dyDescent="0.25">
      <c r="B174" s="303" t="s">
        <v>101</v>
      </c>
      <c r="C174" s="304"/>
      <c r="D174" s="304"/>
      <c r="E174" s="307"/>
      <c r="F174" s="307" t="s">
        <v>22</v>
      </c>
      <c r="G174" s="314"/>
      <c r="H174" s="314">
        <f>H818</f>
        <v>0</v>
      </c>
      <c r="I174" s="314">
        <f t="shared" ref="I174:BE174" si="57">I818</f>
        <v>0</v>
      </c>
      <c r="J174" s="314">
        <f t="shared" si="57"/>
        <v>0</v>
      </c>
      <c r="K174" s="314">
        <f t="shared" si="57"/>
        <v>0</v>
      </c>
      <c r="L174" s="314">
        <f t="shared" si="57"/>
        <v>0</v>
      </c>
      <c r="M174" s="314">
        <f t="shared" si="57"/>
        <v>0</v>
      </c>
      <c r="N174" s="314">
        <f t="shared" si="57"/>
        <v>0</v>
      </c>
      <c r="O174" s="314">
        <f t="shared" si="57"/>
        <v>0</v>
      </c>
      <c r="P174" s="314">
        <f t="shared" si="57"/>
        <v>0</v>
      </c>
      <c r="Q174" s="314">
        <f t="shared" si="57"/>
        <v>0</v>
      </c>
      <c r="R174" s="314">
        <f t="shared" si="57"/>
        <v>0</v>
      </c>
      <c r="S174" s="314">
        <f t="shared" si="57"/>
        <v>0</v>
      </c>
      <c r="T174" s="314">
        <f t="shared" si="57"/>
        <v>0</v>
      </c>
      <c r="U174" s="314">
        <f t="shared" si="57"/>
        <v>0</v>
      </c>
      <c r="V174" s="314">
        <f t="shared" si="57"/>
        <v>0</v>
      </c>
      <c r="W174" s="314">
        <f t="shared" si="57"/>
        <v>0</v>
      </c>
      <c r="X174" s="314">
        <f t="shared" si="57"/>
        <v>0</v>
      </c>
      <c r="Y174" s="314">
        <f t="shared" si="57"/>
        <v>0</v>
      </c>
      <c r="Z174" s="314">
        <f t="shared" si="57"/>
        <v>0</v>
      </c>
      <c r="AA174" s="314">
        <f t="shared" si="57"/>
        <v>0</v>
      </c>
      <c r="AB174" s="314">
        <f t="shared" si="57"/>
        <v>0</v>
      </c>
      <c r="AC174" s="314">
        <f t="shared" si="57"/>
        <v>0</v>
      </c>
      <c r="AD174" s="314">
        <f t="shared" si="57"/>
        <v>0</v>
      </c>
      <c r="AE174" s="314">
        <f t="shared" si="57"/>
        <v>0</v>
      </c>
      <c r="AF174" s="314">
        <f t="shared" si="57"/>
        <v>0</v>
      </c>
      <c r="AG174" s="314">
        <f t="shared" si="57"/>
        <v>0</v>
      </c>
      <c r="AH174" s="314">
        <f t="shared" si="57"/>
        <v>0</v>
      </c>
      <c r="AI174" s="314">
        <f t="shared" si="57"/>
        <v>0</v>
      </c>
      <c r="AJ174" s="314">
        <f t="shared" si="57"/>
        <v>0</v>
      </c>
      <c r="AK174" s="314">
        <f t="shared" si="57"/>
        <v>0</v>
      </c>
      <c r="AL174" s="314">
        <f t="shared" si="57"/>
        <v>0</v>
      </c>
      <c r="AM174" s="314">
        <f t="shared" si="57"/>
        <v>0</v>
      </c>
      <c r="AN174" s="314">
        <f t="shared" si="57"/>
        <v>0</v>
      </c>
      <c r="AO174" s="314">
        <f t="shared" si="57"/>
        <v>0</v>
      </c>
      <c r="AP174" s="314">
        <f t="shared" si="57"/>
        <v>0</v>
      </c>
      <c r="AQ174" s="314">
        <f t="shared" si="57"/>
        <v>0</v>
      </c>
      <c r="AR174" s="314">
        <f t="shared" si="57"/>
        <v>0</v>
      </c>
      <c r="AS174" s="314">
        <f t="shared" si="57"/>
        <v>0</v>
      </c>
      <c r="AT174" s="314">
        <f t="shared" si="57"/>
        <v>0</v>
      </c>
      <c r="AU174" s="314">
        <f t="shared" si="57"/>
        <v>0</v>
      </c>
      <c r="AV174" s="314">
        <f t="shared" si="57"/>
        <v>0</v>
      </c>
      <c r="AW174" s="314">
        <f t="shared" si="57"/>
        <v>0</v>
      </c>
      <c r="AX174" s="314">
        <f t="shared" si="57"/>
        <v>0</v>
      </c>
      <c r="AY174" s="314">
        <f t="shared" si="57"/>
        <v>0</v>
      </c>
      <c r="AZ174" s="314">
        <f t="shared" si="57"/>
        <v>0</v>
      </c>
      <c r="BA174" s="314">
        <f t="shared" si="57"/>
        <v>0</v>
      </c>
      <c r="BB174" s="314">
        <f t="shared" si="57"/>
        <v>0</v>
      </c>
      <c r="BC174" s="314">
        <f t="shared" si="57"/>
        <v>0</v>
      </c>
      <c r="BD174" s="314">
        <f t="shared" si="57"/>
        <v>0</v>
      </c>
      <c r="BE174" s="1315">
        <f t="shared" si="57"/>
        <v>0</v>
      </c>
    </row>
    <row r="175" spans="2:57" x14ac:dyDescent="0.25">
      <c r="B175" s="303"/>
      <c r="C175" s="304"/>
      <c r="D175" s="304"/>
      <c r="E175" s="307"/>
      <c r="F175" s="307"/>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1315"/>
    </row>
    <row r="176" spans="2:57" x14ac:dyDescent="0.25">
      <c r="B176" s="303" t="s">
        <v>256</v>
      </c>
      <c r="C176" s="304"/>
      <c r="D176" s="304"/>
      <c r="E176" s="307"/>
      <c r="F176" s="307" t="s">
        <v>22</v>
      </c>
      <c r="G176" s="314"/>
      <c r="H176" s="314">
        <f>H539</f>
        <v>0</v>
      </c>
      <c r="I176" s="314">
        <f t="shared" ref="I176:BE176" si="58">I539</f>
        <v>0</v>
      </c>
      <c r="J176" s="314">
        <f t="shared" si="58"/>
        <v>0</v>
      </c>
      <c r="K176" s="314">
        <f t="shared" si="58"/>
        <v>0</v>
      </c>
      <c r="L176" s="314">
        <f t="shared" si="58"/>
        <v>0</v>
      </c>
      <c r="M176" s="314">
        <f t="shared" si="58"/>
        <v>0</v>
      </c>
      <c r="N176" s="314">
        <f t="shared" si="58"/>
        <v>0</v>
      </c>
      <c r="O176" s="314">
        <f t="shared" si="58"/>
        <v>0</v>
      </c>
      <c r="P176" s="314">
        <f t="shared" si="58"/>
        <v>0</v>
      </c>
      <c r="Q176" s="314">
        <f t="shared" si="58"/>
        <v>0</v>
      </c>
      <c r="R176" s="314">
        <f t="shared" si="58"/>
        <v>0</v>
      </c>
      <c r="S176" s="314">
        <f t="shared" si="58"/>
        <v>0</v>
      </c>
      <c r="T176" s="314">
        <f t="shared" si="58"/>
        <v>0</v>
      </c>
      <c r="U176" s="314">
        <f t="shared" si="58"/>
        <v>0</v>
      </c>
      <c r="V176" s="314">
        <f t="shared" si="58"/>
        <v>0</v>
      </c>
      <c r="W176" s="314">
        <f t="shared" si="58"/>
        <v>0</v>
      </c>
      <c r="X176" s="314">
        <f t="shared" si="58"/>
        <v>0</v>
      </c>
      <c r="Y176" s="314">
        <f t="shared" si="58"/>
        <v>0</v>
      </c>
      <c r="Z176" s="314">
        <f t="shared" si="58"/>
        <v>0</v>
      </c>
      <c r="AA176" s="314">
        <f t="shared" si="58"/>
        <v>0</v>
      </c>
      <c r="AB176" s="314">
        <f t="shared" si="58"/>
        <v>0</v>
      </c>
      <c r="AC176" s="314">
        <f t="shared" si="58"/>
        <v>0</v>
      </c>
      <c r="AD176" s="314">
        <f t="shared" si="58"/>
        <v>0</v>
      </c>
      <c r="AE176" s="314">
        <f t="shared" si="58"/>
        <v>0</v>
      </c>
      <c r="AF176" s="314">
        <f t="shared" si="58"/>
        <v>0</v>
      </c>
      <c r="AG176" s="314">
        <f t="shared" si="58"/>
        <v>0</v>
      </c>
      <c r="AH176" s="314">
        <f t="shared" si="58"/>
        <v>0</v>
      </c>
      <c r="AI176" s="314">
        <f t="shared" si="58"/>
        <v>0</v>
      </c>
      <c r="AJ176" s="314">
        <f t="shared" si="58"/>
        <v>0</v>
      </c>
      <c r="AK176" s="314">
        <f t="shared" si="58"/>
        <v>0</v>
      </c>
      <c r="AL176" s="314">
        <f t="shared" si="58"/>
        <v>0</v>
      </c>
      <c r="AM176" s="314">
        <f t="shared" si="58"/>
        <v>0</v>
      </c>
      <c r="AN176" s="314">
        <f t="shared" si="58"/>
        <v>0</v>
      </c>
      <c r="AO176" s="314">
        <f t="shared" si="58"/>
        <v>0</v>
      </c>
      <c r="AP176" s="314">
        <f t="shared" si="58"/>
        <v>0</v>
      </c>
      <c r="AQ176" s="314">
        <f t="shared" si="58"/>
        <v>0</v>
      </c>
      <c r="AR176" s="314">
        <f t="shared" si="58"/>
        <v>0</v>
      </c>
      <c r="AS176" s="314">
        <f t="shared" si="58"/>
        <v>0</v>
      </c>
      <c r="AT176" s="314">
        <f t="shared" si="58"/>
        <v>0</v>
      </c>
      <c r="AU176" s="314">
        <f t="shared" si="58"/>
        <v>0</v>
      </c>
      <c r="AV176" s="314">
        <f t="shared" si="58"/>
        <v>0</v>
      </c>
      <c r="AW176" s="314">
        <f t="shared" si="58"/>
        <v>0</v>
      </c>
      <c r="AX176" s="314">
        <f t="shared" si="58"/>
        <v>0</v>
      </c>
      <c r="AY176" s="314">
        <f t="shared" si="58"/>
        <v>0</v>
      </c>
      <c r="AZ176" s="314">
        <f t="shared" si="58"/>
        <v>0</v>
      </c>
      <c r="BA176" s="314">
        <f t="shared" si="58"/>
        <v>0</v>
      </c>
      <c r="BB176" s="314">
        <f t="shared" si="58"/>
        <v>0</v>
      </c>
      <c r="BC176" s="314">
        <f t="shared" si="58"/>
        <v>0</v>
      </c>
      <c r="BD176" s="314">
        <f t="shared" si="58"/>
        <v>0</v>
      </c>
      <c r="BE176" s="1315">
        <f t="shared" si="58"/>
        <v>0</v>
      </c>
    </row>
    <row r="177" spans="2:57" x14ac:dyDescent="0.25">
      <c r="B177" s="303" t="s">
        <v>188</v>
      </c>
      <c r="C177" s="304"/>
      <c r="D177" s="304"/>
      <c r="E177" s="307"/>
      <c r="F177" s="307" t="s">
        <v>22</v>
      </c>
      <c r="G177" s="314"/>
      <c r="H177" s="314">
        <f>H560</f>
        <v>0</v>
      </c>
      <c r="I177" s="314">
        <f t="shared" ref="I177:BE177" si="59">I560</f>
        <v>0</v>
      </c>
      <c r="J177" s="314">
        <f t="shared" si="59"/>
        <v>0</v>
      </c>
      <c r="K177" s="314">
        <f t="shared" si="59"/>
        <v>0</v>
      </c>
      <c r="L177" s="314">
        <f t="shared" si="59"/>
        <v>0</v>
      </c>
      <c r="M177" s="314">
        <f t="shared" si="59"/>
        <v>0</v>
      </c>
      <c r="N177" s="314">
        <f t="shared" si="59"/>
        <v>0</v>
      </c>
      <c r="O177" s="314">
        <f t="shared" si="59"/>
        <v>0</v>
      </c>
      <c r="P177" s="314">
        <f t="shared" si="59"/>
        <v>0</v>
      </c>
      <c r="Q177" s="314">
        <f t="shared" si="59"/>
        <v>0</v>
      </c>
      <c r="R177" s="314">
        <f t="shared" si="59"/>
        <v>0</v>
      </c>
      <c r="S177" s="314">
        <f t="shared" si="59"/>
        <v>0</v>
      </c>
      <c r="T177" s="314">
        <f t="shared" si="59"/>
        <v>0</v>
      </c>
      <c r="U177" s="314">
        <f t="shared" si="59"/>
        <v>0</v>
      </c>
      <c r="V177" s="314">
        <f t="shared" si="59"/>
        <v>0</v>
      </c>
      <c r="W177" s="314">
        <f t="shared" si="59"/>
        <v>0</v>
      </c>
      <c r="X177" s="314">
        <f t="shared" si="59"/>
        <v>0</v>
      </c>
      <c r="Y177" s="314">
        <f t="shared" si="59"/>
        <v>0</v>
      </c>
      <c r="Z177" s="314">
        <f t="shared" si="59"/>
        <v>0</v>
      </c>
      <c r="AA177" s="314">
        <f t="shared" si="59"/>
        <v>0</v>
      </c>
      <c r="AB177" s="314">
        <f t="shared" si="59"/>
        <v>0</v>
      </c>
      <c r="AC177" s="314">
        <f t="shared" si="59"/>
        <v>0</v>
      </c>
      <c r="AD177" s="314">
        <f t="shared" si="59"/>
        <v>0</v>
      </c>
      <c r="AE177" s="314">
        <f t="shared" si="59"/>
        <v>0</v>
      </c>
      <c r="AF177" s="314">
        <f t="shared" si="59"/>
        <v>0</v>
      </c>
      <c r="AG177" s="314">
        <f t="shared" si="59"/>
        <v>0</v>
      </c>
      <c r="AH177" s="314">
        <f t="shared" si="59"/>
        <v>0</v>
      </c>
      <c r="AI177" s="314">
        <f t="shared" si="59"/>
        <v>0</v>
      </c>
      <c r="AJ177" s="314">
        <f t="shared" si="59"/>
        <v>0</v>
      </c>
      <c r="AK177" s="314">
        <f t="shared" si="59"/>
        <v>0</v>
      </c>
      <c r="AL177" s="314">
        <f t="shared" si="59"/>
        <v>0</v>
      </c>
      <c r="AM177" s="314">
        <f t="shared" si="59"/>
        <v>0</v>
      </c>
      <c r="AN177" s="314">
        <f t="shared" si="59"/>
        <v>0</v>
      </c>
      <c r="AO177" s="314">
        <f t="shared" si="59"/>
        <v>0</v>
      </c>
      <c r="AP177" s="314">
        <f t="shared" si="59"/>
        <v>0</v>
      </c>
      <c r="AQ177" s="314">
        <f t="shared" si="59"/>
        <v>0</v>
      </c>
      <c r="AR177" s="314">
        <f t="shared" si="59"/>
        <v>0</v>
      </c>
      <c r="AS177" s="314">
        <f t="shared" si="59"/>
        <v>0</v>
      </c>
      <c r="AT177" s="314">
        <f t="shared" si="59"/>
        <v>0</v>
      </c>
      <c r="AU177" s="314">
        <f t="shared" si="59"/>
        <v>0</v>
      </c>
      <c r="AV177" s="314">
        <f t="shared" si="59"/>
        <v>0</v>
      </c>
      <c r="AW177" s="314">
        <f t="shared" si="59"/>
        <v>0</v>
      </c>
      <c r="AX177" s="314">
        <f t="shared" si="59"/>
        <v>0</v>
      </c>
      <c r="AY177" s="314">
        <f t="shared" si="59"/>
        <v>0</v>
      </c>
      <c r="AZ177" s="314">
        <f t="shared" si="59"/>
        <v>0</v>
      </c>
      <c r="BA177" s="314">
        <f t="shared" si="59"/>
        <v>0</v>
      </c>
      <c r="BB177" s="314">
        <f t="shared" si="59"/>
        <v>0</v>
      </c>
      <c r="BC177" s="314">
        <f t="shared" si="59"/>
        <v>0</v>
      </c>
      <c r="BD177" s="314">
        <f t="shared" si="59"/>
        <v>0</v>
      </c>
      <c r="BE177" s="1315">
        <f t="shared" si="59"/>
        <v>0</v>
      </c>
    </row>
    <row r="178" spans="2:57" x14ac:dyDescent="0.25">
      <c r="B178" s="303" t="s">
        <v>189</v>
      </c>
      <c r="C178" s="304"/>
      <c r="D178" s="304"/>
      <c r="E178" s="307"/>
      <c r="F178" s="307" t="s">
        <v>22</v>
      </c>
      <c r="G178" s="314"/>
      <c r="H178" s="314">
        <f>H581</f>
        <v>0</v>
      </c>
      <c r="I178" s="314">
        <f t="shared" ref="I178:BE178" si="60">I581</f>
        <v>0</v>
      </c>
      <c r="J178" s="314">
        <f t="shared" si="60"/>
        <v>0</v>
      </c>
      <c r="K178" s="314">
        <f t="shared" si="60"/>
        <v>0</v>
      </c>
      <c r="L178" s="314">
        <f t="shared" si="60"/>
        <v>0</v>
      </c>
      <c r="M178" s="314">
        <f t="shared" si="60"/>
        <v>0</v>
      </c>
      <c r="N178" s="314">
        <f t="shared" si="60"/>
        <v>0</v>
      </c>
      <c r="O178" s="314">
        <f t="shared" si="60"/>
        <v>0</v>
      </c>
      <c r="P178" s="314">
        <f t="shared" si="60"/>
        <v>0</v>
      </c>
      <c r="Q178" s="314">
        <f t="shared" si="60"/>
        <v>0</v>
      </c>
      <c r="R178" s="314">
        <f t="shared" si="60"/>
        <v>0</v>
      </c>
      <c r="S178" s="314">
        <f t="shared" si="60"/>
        <v>0</v>
      </c>
      <c r="T178" s="314">
        <f t="shared" si="60"/>
        <v>0</v>
      </c>
      <c r="U178" s="314">
        <f t="shared" si="60"/>
        <v>0</v>
      </c>
      <c r="V178" s="314">
        <f t="shared" si="60"/>
        <v>0</v>
      </c>
      <c r="W178" s="314">
        <f t="shared" si="60"/>
        <v>0</v>
      </c>
      <c r="X178" s="314">
        <f t="shared" si="60"/>
        <v>0</v>
      </c>
      <c r="Y178" s="314">
        <f t="shared" si="60"/>
        <v>0</v>
      </c>
      <c r="Z178" s="314">
        <f t="shared" si="60"/>
        <v>0</v>
      </c>
      <c r="AA178" s="314">
        <f t="shared" si="60"/>
        <v>0</v>
      </c>
      <c r="AB178" s="314">
        <f t="shared" si="60"/>
        <v>0</v>
      </c>
      <c r="AC178" s="314">
        <f t="shared" si="60"/>
        <v>0</v>
      </c>
      <c r="AD178" s="314">
        <f t="shared" si="60"/>
        <v>0</v>
      </c>
      <c r="AE178" s="314">
        <f t="shared" si="60"/>
        <v>0</v>
      </c>
      <c r="AF178" s="314">
        <f t="shared" si="60"/>
        <v>0</v>
      </c>
      <c r="AG178" s="314">
        <f t="shared" si="60"/>
        <v>0</v>
      </c>
      <c r="AH178" s="314">
        <f t="shared" si="60"/>
        <v>0</v>
      </c>
      <c r="AI178" s="314">
        <f t="shared" si="60"/>
        <v>0</v>
      </c>
      <c r="AJ178" s="314">
        <f t="shared" si="60"/>
        <v>0</v>
      </c>
      <c r="AK178" s="314">
        <f t="shared" si="60"/>
        <v>0</v>
      </c>
      <c r="AL178" s="314">
        <f t="shared" si="60"/>
        <v>0</v>
      </c>
      <c r="AM178" s="314">
        <f t="shared" si="60"/>
        <v>0</v>
      </c>
      <c r="AN178" s="314">
        <f t="shared" si="60"/>
        <v>0</v>
      </c>
      <c r="AO178" s="314">
        <f t="shared" si="60"/>
        <v>0</v>
      </c>
      <c r="AP178" s="314">
        <f t="shared" si="60"/>
        <v>0</v>
      </c>
      <c r="AQ178" s="314">
        <f t="shared" si="60"/>
        <v>0</v>
      </c>
      <c r="AR178" s="314">
        <f t="shared" si="60"/>
        <v>0</v>
      </c>
      <c r="AS178" s="314">
        <f t="shared" si="60"/>
        <v>0</v>
      </c>
      <c r="AT178" s="314">
        <f t="shared" si="60"/>
        <v>0</v>
      </c>
      <c r="AU178" s="314">
        <f t="shared" si="60"/>
        <v>0</v>
      </c>
      <c r="AV178" s="314">
        <f t="shared" si="60"/>
        <v>0</v>
      </c>
      <c r="AW178" s="314">
        <f t="shared" si="60"/>
        <v>0</v>
      </c>
      <c r="AX178" s="314">
        <f t="shared" si="60"/>
        <v>0</v>
      </c>
      <c r="AY178" s="314">
        <f t="shared" si="60"/>
        <v>0</v>
      </c>
      <c r="AZ178" s="314">
        <f t="shared" si="60"/>
        <v>0</v>
      </c>
      <c r="BA178" s="314">
        <f t="shared" si="60"/>
        <v>0</v>
      </c>
      <c r="BB178" s="314">
        <f t="shared" si="60"/>
        <v>0</v>
      </c>
      <c r="BC178" s="314">
        <f t="shared" si="60"/>
        <v>0</v>
      </c>
      <c r="BD178" s="314">
        <f t="shared" si="60"/>
        <v>0</v>
      </c>
      <c r="BE178" s="1315">
        <f t="shared" si="60"/>
        <v>0</v>
      </c>
    </row>
    <row r="179" spans="2:57" x14ac:dyDescent="0.25">
      <c r="B179" s="303" t="s">
        <v>132</v>
      </c>
      <c r="C179" s="304"/>
      <c r="D179" s="304"/>
      <c r="E179" s="307"/>
      <c r="F179" s="307" t="s">
        <v>22</v>
      </c>
      <c r="G179" s="314"/>
      <c r="H179" s="314">
        <f>(H550+H571+H592)</f>
        <v>0</v>
      </c>
      <c r="I179" s="314">
        <f>(I550+I571+I592)</f>
        <v>0</v>
      </c>
      <c r="J179" s="314">
        <f t="shared" ref="J179:BE179" si="61">(J550+J571+J592)</f>
        <v>0</v>
      </c>
      <c r="K179" s="314">
        <f t="shared" si="61"/>
        <v>0</v>
      </c>
      <c r="L179" s="314">
        <f t="shared" si="61"/>
        <v>0</v>
      </c>
      <c r="M179" s="314">
        <f t="shared" si="61"/>
        <v>0</v>
      </c>
      <c r="N179" s="314">
        <f t="shared" si="61"/>
        <v>0</v>
      </c>
      <c r="O179" s="314">
        <f t="shared" si="61"/>
        <v>0</v>
      </c>
      <c r="P179" s="314">
        <f t="shared" si="61"/>
        <v>0</v>
      </c>
      <c r="Q179" s="314">
        <f t="shared" si="61"/>
        <v>0</v>
      </c>
      <c r="R179" s="314">
        <f t="shared" si="61"/>
        <v>0</v>
      </c>
      <c r="S179" s="314">
        <f t="shared" si="61"/>
        <v>0</v>
      </c>
      <c r="T179" s="314">
        <f t="shared" si="61"/>
        <v>0</v>
      </c>
      <c r="U179" s="314">
        <f t="shared" si="61"/>
        <v>0</v>
      </c>
      <c r="V179" s="314">
        <f t="shared" si="61"/>
        <v>0</v>
      </c>
      <c r="W179" s="314">
        <f t="shared" si="61"/>
        <v>0</v>
      </c>
      <c r="X179" s="314">
        <f t="shared" si="61"/>
        <v>0</v>
      </c>
      <c r="Y179" s="314">
        <f t="shared" si="61"/>
        <v>0</v>
      </c>
      <c r="Z179" s="314">
        <f t="shared" si="61"/>
        <v>0</v>
      </c>
      <c r="AA179" s="314">
        <f t="shared" si="61"/>
        <v>0</v>
      </c>
      <c r="AB179" s="314">
        <f t="shared" si="61"/>
        <v>0</v>
      </c>
      <c r="AC179" s="314">
        <f t="shared" si="61"/>
        <v>0</v>
      </c>
      <c r="AD179" s="314">
        <f t="shared" si="61"/>
        <v>0</v>
      </c>
      <c r="AE179" s="314">
        <f t="shared" si="61"/>
        <v>0</v>
      </c>
      <c r="AF179" s="314">
        <f t="shared" si="61"/>
        <v>0</v>
      </c>
      <c r="AG179" s="314">
        <f t="shared" si="61"/>
        <v>0</v>
      </c>
      <c r="AH179" s="314">
        <f t="shared" si="61"/>
        <v>0</v>
      </c>
      <c r="AI179" s="314">
        <f t="shared" si="61"/>
        <v>0</v>
      </c>
      <c r="AJ179" s="314">
        <f t="shared" si="61"/>
        <v>0</v>
      </c>
      <c r="AK179" s="314">
        <f t="shared" si="61"/>
        <v>0</v>
      </c>
      <c r="AL179" s="314">
        <f t="shared" si="61"/>
        <v>0</v>
      </c>
      <c r="AM179" s="314">
        <f t="shared" si="61"/>
        <v>0</v>
      </c>
      <c r="AN179" s="314">
        <f t="shared" si="61"/>
        <v>0</v>
      </c>
      <c r="AO179" s="314">
        <f t="shared" si="61"/>
        <v>0</v>
      </c>
      <c r="AP179" s="314">
        <f t="shared" si="61"/>
        <v>0</v>
      </c>
      <c r="AQ179" s="314">
        <f t="shared" si="61"/>
        <v>0</v>
      </c>
      <c r="AR179" s="314">
        <f t="shared" si="61"/>
        <v>0</v>
      </c>
      <c r="AS179" s="314">
        <f t="shared" si="61"/>
        <v>0</v>
      </c>
      <c r="AT179" s="314">
        <f t="shared" si="61"/>
        <v>0</v>
      </c>
      <c r="AU179" s="314">
        <f t="shared" si="61"/>
        <v>0</v>
      </c>
      <c r="AV179" s="314">
        <f t="shared" si="61"/>
        <v>0</v>
      </c>
      <c r="AW179" s="314">
        <f t="shared" si="61"/>
        <v>0</v>
      </c>
      <c r="AX179" s="314">
        <f t="shared" si="61"/>
        <v>0</v>
      </c>
      <c r="AY179" s="314">
        <f t="shared" si="61"/>
        <v>0</v>
      </c>
      <c r="AZ179" s="314">
        <f t="shared" si="61"/>
        <v>0</v>
      </c>
      <c r="BA179" s="314">
        <f t="shared" si="61"/>
        <v>0</v>
      </c>
      <c r="BB179" s="314">
        <f t="shared" si="61"/>
        <v>0</v>
      </c>
      <c r="BC179" s="314">
        <f t="shared" si="61"/>
        <v>0</v>
      </c>
      <c r="BD179" s="314">
        <f t="shared" si="61"/>
        <v>0</v>
      </c>
      <c r="BE179" s="1315">
        <f t="shared" si="61"/>
        <v>0</v>
      </c>
    </row>
    <row r="180" spans="2:57" x14ac:dyDescent="0.25">
      <c r="B180" s="303" t="s">
        <v>190</v>
      </c>
      <c r="C180" s="304"/>
      <c r="D180" s="304"/>
      <c r="E180" s="307"/>
      <c r="F180" s="307" t="s">
        <v>22</v>
      </c>
      <c r="G180" s="314"/>
      <c r="H180" s="314">
        <f>(H572+H573)</f>
        <v>0</v>
      </c>
      <c r="I180" s="314">
        <f>(I573)</f>
        <v>0</v>
      </c>
      <c r="J180" s="314">
        <f t="shared" ref="J180:BE180" si="62">(J573)</f>
        <v>0</v>
      </c>
      <c r="K180" s="314">
        <f t="shared" si="62"/>
        <v>0</v>
      </c>
      <c r="L180" s="314">
        <f t="shared" si="62"/>
        <v>0</v>
      </c>
      <c r="M180" s="314">
        <f t="shared" si="62"/>
        <v>0</v>
      </c>
      <c r="N180" s="314">
        <f t="shared" si="62"/>
        <v>0</v>
      </c>
      <c r="O180" s="314">
        <f t="shared" si="62"/>
        <v>0</v>
      </c>
      <c r="P180" s="314">
        <f t="shared" si="62"/>
        <v>0</v>
      </c>
      <c r="Q180" s="314">
        <f t="shared" si="62"/>
        <v>0</v>
      </c>
      <c r="R180" s="314">
        <f t="shared" si="62"/>
        <v>0</v>
      </c>
      <c r="S180" s="314">
        <f t="shared" si="62"/>
        <v>0</v>
      </c>
      <c r="T180" s="314">
        <f t="shared" si="62"/>
        <v>0</v>
      </c>
      <c r="U180" s="314">
        <f t="shared" si="62"/>
        <v>0</v>
      </c>
      <c r="V180" s="314">
        <f t="shared" si="62"/>
        <v>0</v>
      </c>
      <c r="W180" s="314">
        <f t="shared" si="62"/>
        <v>0</v>
      </c>
      <c r="X180" s="314">
        <f t="shared" si="62"/>
        <v>0</v>
      </c>
      <c r="Y180" s="314">
        <f t="shared" si="62"/>
        <v>0</v>
      </c>
      <c r="Z180" s="314">
        <f t="shared" si="62"/>
        <v>0</v>
      </c>
      <c r="AA180" s="314">
        <f t="shared" si="62"/>
        <v>0</v>
      </c>
      <c r="AB180" s="314">
        <f t="shared" si="62"/>
        <v>0</v>
      </c>
      <c r="AC180" s="314">
        <f t="shared" si="62"/>
        <v>0</v>
      </c>
      <c r="AD180" s="314">
        <f t="shared" si="62"/>
        <v>0</v>
      </c>
      <c r="AE180" s="314">
        <f t="shared" si="62"/>
        <v>0</v>
      </c>
      <c r="AF180" s="314">
        <f t="shared" si="62"/>
        <v>0</v>
      </c>
      <c r="AG180" s="314">
        <f t="shared" si="62"/>
        <v>0</v>
      </c>
      <c r="AH180" s="314">
        <f t="shared" si="62"/>
        <v>0</v>
      </c>
      <c r="AI180" s="314">
        <f t="shared" si="62"/>
        <v>0</v>
      </c>
      <c r="AJ180" s="314">
        <f t="shared" si="62"/>
        <v>0</v>
      </c>
      <c r="AK180" s="314">
        <f t="shared" si="62"/>
        <v>0</v>
      </c>
      <c r="AL180" s="314">
        <f t="shared" si="62"/>
        <v>0</v>
      </c>
      <c r="AM180" s="314">
        <f t="shared" si="62"/>
        <v>0</v>
      </c>
      <c r="AN180" s="314">
        <f t="shared" si="62"/>
        <v>0</v>
      </c>
      <c r="AO180" s="314">
        <f t="shared" si="62"/>
        <v>0</v>
      </c>
      <c r="AP180" s="314">
        <f t="shared" si="62"/>
        <v>0</v>
      </c>
      <c r="AQ180" s="314">
        <f t="shared" si="62"/>
        <v>0</v>
      </c>
      <c r="AR180" s="314">
        <f t="shared" si="62"/>
        <v>0</v>
      </c>
      <c r="AS180" s="314">
        <f t="shared" si="62"/>
        <v>0</v>
      </c>
      <c r="AT180" s="314">
        <f t="shared" si="62"/>
        <v>0</v>
      </c>
      <c r="AU180" s="314">
        <f t="shared" si="62"/>
        <v>0</v>
      </c>
      <c r="AV180" s="314">
        <f t="shared" si="62"/>
        <v>0</v>
      </c>
      <c r="AW180" s="314">
        <f t="shared" si="62"/>
        <v>0</v>
      </c>
      <c r="AX180" s="314">
        <f t="shared" si="62"/>
        <v>0</v>
      </c>
      <c r="AY180" s="314">
        <f t="shared" si="62"/>
        <v>0</v>
      </c>
      <c r="AZ180" s="314">
        <f t="shared" si="62"/>
        <v>0</v>
      </c>
      <c r="BA180" s="314">
        <f t="shared" si="62"/>
        <v>0</v>
      </c>
      <c r="BB180" s="314">
        <f t="shared" si="62"/>
        <v>0</v>
      </c>
      <c r="BC180" s="314">
        <f t="shared" si="62"/>
        <v>0</v>
      </c>
      <c r="BD180" s="314">
        <f t="shared" si="62"/>
        <v>0</v>
      </c>
      <c r="BE180" s="1315">
        <f t="shared" si="62"/>
        <v>0</v>
      </c>
    </row>
    <row r="181" spans="2:57" x14ac:dyDescent="0.25">
      <c r="B181" s="303" t="s">
        <v>134</v>
      </c>
      <c r="C181" s="304"/>
      <c r="D181" s="304"/>
      <c r="E181" s="307"/>
      <c r="F181" s="307" t="s">
        <v>22</v>
      </c>
      <c r="G181" s="314"/>
      <c r="H181" s="314">
        <f>(H602+H603)</f>
        <v>0</v>
      </c>
      <c r="I181" s="314">
        <f>(+I603)</f>
        <v>0</v>
      </c>
      <c r="J181" s="314">
        <f t="shared" ref="J181:BE181" si="63">(+J603)</f>
        <v>0</v>
      </c>
      <c r="K181" s="314">
        <f t="shared" si="63"/>
        <v>0</v>
      </c>
      <c r="L181" s="314">
        <f t="shared" si="63"/>
        <v>0</v>
      </c>
      <c r="M181" s="314">
        <f t="shared" si="63"/>
        <v>0</v>
      </c>
      <c r="N181" s="314">
        <f t="shared" si="63"/>
        <v>0</v>
      </c>
      <c r="O181" s="314">
        <f t="shared" si="63"/>
        <v>0</v>
      </c>
      <c r="P181" s="314">
        <f t="shared" si="63"/>
        <v>0</v>
      </c>
      <c r="Q181" s="314">
        <f t="shared" si="63"/>
        <v>0</v>
      </c>
      <c r="R181" s="314">
        <f t="shared" si="63"/>
        <v>0</v>
      </c>
      <c r="S181" s="314">
        <f t="shared" si="63"/>
        <v>0</v>
      </c>
      <c r="T181" s="314">
        <f t="shared" si="63"/>
        <v>0</v>
      </c>
      <c r="U181" s="314">
        <f t="shared" si="63"/>
        <v>0</v>
      </c>
      <c r="V181" s="314">
        <f t="shared" si="63"/>
        <v>0</v>
      </c>
      <c r="W181" s="314">
        <f t="shared" si="63"/>
        <v>0</v>
      </c>
      <c r="X181" s="314">
        <f t="shared" si="63"/>
        <v>0</v>
      </c>
      <c r="Y181" s="314">
        <f t="shared" si="63"/>
        <v>0</v>
      </c>
      <c r="Z181" s="314">
        <f t="shared" si="63"/>
        <v>0</v>
      </c>
      <c r="AA181" s="314">
        <f t="shared" si="63"/>
        <v>0</v>
      </c>
      <c r="AB181" s="314">
        <f t="shared" si="63"/>
        <v>0</v>
      </c>
      <c r="AC181" s="314">
        <f t="shared" si="63"/>
        <v>0</v>
      </c>
      <c r="AD181" s="314">
        <f t="shared" si="63"/>
        <v>0</v>
      </c>
      <c r="AE181" s="314">
        <f t="shared" si="63"/>
        <v>0</v>
      </c>
      <c r="AF181" s="314">
        <f t="shared" si="63"/>
        <v>0</v>
      </c>
      <c r="AG181" s="314">
        <f t="shared" si="63"/>
        <v>0</v>
      </c>
      <c r="AH181" s="314">
        <f t="shared" si="63"/>
        <v>0</v>
      </c>
      <c r="AI181" s="314">
        <f t="shared" si="63"/>
        <v>0</v>
      </c>
      <c r="AJ181" s="314">
        <f t="shared" si="63"/>
        <v>0</v>
      </c>
      <c r="AK181" s="314">
        <f t="shared" si="63"/>
        <v>0</v>
      </c>
      <c r="AL181" s="314">
        <f t="shared" si="63"/>
        <v>0</v>
      </c>
      <c r="AM181" s="314">
        <f t="shared" si="63"/>
        <v>0</v>
      </c>
      <c r="AN181" s="314">
        <f t="shared" si="63"/>
        <v>0</v>
      </c>
      <c r="AO181" s="314">
        <f t="shared" si="63"/>
        <v>0</v>
      </c>
      <c r="AP181" s="314">
        <f t="shared" si="63"/>
        <v>0</v>
      </c>
      <c r="AQ181" s="314">
        <f t="shared" si="63"/>
        <v>0</v>
      </c>
      <c r="AR181" s="314">
        <f t="shared" si="63"/>
        <v>0</v>
      </c>
      <c r="AS181" s="314">
        <f t="shared" si="63"/>
        <v>0</v>
      </c>
      <c r="AT181" s="314">
        <f t="shared" si="63"/>
        <v>0</v>
      </c>
      <c r="AU181" s="314">
        <f t="shared" si="63"/>
        <v>0</v>
      </c>
      <c r="AV181" s="314">
        <f t="shared" si="63"/>
        <v>0</v>
      </c>
      <c r="AW181" s="314">
        <f t="shared" si="63"/>
        <v>0</v>
      </c>
      <c r="AX181" s="314">
        <f t="shared" si="63"/>
        <v>0</v>
      </c>
      <c r="AY181" s="314">
        <f t="shared" si="63"/>
        <v>0</v>
      </c>
      <c r="AZ181" s="314">
        <f t="shared" si="63"/>
        <v>0</v>
      </c>
      <c r="BA181" s="314">
        <f t="shared" si="63"/>
        <v>0</v>
      </c>
      <c r="BB181" s="314">
        <f t="shared" si="63"/>
        <v>0</v>
      </c>
      <c r="BC181" s="314">
        <f t="shared" si="63"/>
        <v>0</v>
      </c>
      <c r="BD181" s="314">
        <f t="shared" si="63"/>
        <v>0</v>
      </c>
      <c r="BE181" s="1315">
        <f t="shared" si="63"/>
        <v>0</v>
      </c>
    </row>
    <row r="182" spans="2:57" x14ac:dyDescent="0.25">
      <c r="B182" s="303"/>
      <c r="C182" s="304"/>
      <c r="D182" s="304"/>
      <c r="E182" s="307"/>
      <c r="F182" s="307"/>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314"/>
      <c r="AO182" s="314"/>
      <c r="AP182" s="314"/>
      <c r="AQ182" s="314"/>
      <c r="AR182" s="314"/>
      <c r="AS182" s="314"/>
      <c r="AT182" s="314"/>
      <c r="AU182" s="314"/>
      <c r="AV182" s="314"/>
      <c r="AW182" s="314"/>
      <c r="AX182" s="314"/>
      <c r="AY182" s="314"/>
      <c r="AZ182" s="314"/>
      <c r="BA182" s="314"/>
      <c r="BB182" s="314"/>
      <c r="BC182" s="314"/>
      <c r="BD182" s="314"/>
      <c r="BE182" s="1315"/>
    </row>
    <row r="183" spans="2:57" x14ac:dyDescent="0.25">
      <c r="B183" s="303"/>
      <c r="C183" s="304"/>
      <c r="D183" s="304"/>
      <c r="E183" s="307"/>
      <c r="F183" s="307"/>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4"/>
      <c r="AM183" s="314"/>
      <c r="AN183" s="314"/>
      <c r="AO183" s="314"/>
      <c r="AP183" s="314"/>
      <c r="AQ183" s="314"/>
      <c r="AR183" s="314"/>
      <c r="AS183" s="314"/>
      <c r="AT183" s="314"/>
      <c r="AU183" s="314"/>
      <c r="AV183" s="314"/>
      <c r="AW183" s="314"/>
      <c r="AX183" s="314"/>
      <c r="AY183" s="314"/>
      <c r="AZ183" s="314"/>
      <c r="BA183" s="314"/>
      <c r="BB183" s="314"/>
      <c r="BC183" s="314"/>
      <c r="BD183" s="314"/>
      <c r="BE183" s="1315"/>
    </row>
    <row r="184" spans="2:57" x14ac:dyDescent="0.25">
      <c r="B184" s="315" t="s">
        <v>133</v>
      </c>
      <c r="C184" s="304"/>
      <c r="D184" s="304"/>
      <c r="E184" s="307"/>
      <c r="F184" s="307"/>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1315"/>
    </row>
    <row r="185" spans="2:57" x14ac:dyDescent="0.25">
      <c r="B185" s="303"/>
      <c r="C185" s="304"/>
      <c r="D185" s="304"/>
      <c r="E185" s="307"/>
      <c r="F185" s="307"/>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c r="AN185" s="314"/>
      <c r="AO185" s="314"/>
      <c r="AP185" s="314"/>
      <c r="AQ185" s="314"/>
      <c r="AR185" s="314"/>
      <c r="AS185" s="314"/>
      <c r="AT185" s="314"/>
      <c r="AU185" s="314"/>
      <c r="AV185" s="314"/>
      <c r="AW185" s="314"/>
      <c r="AX185" s="314"/>
      <c r="AY185" s="314"/>
      <c r="AZ185" s="314"/>
      <c r="BA185" s="314"/>
      <c r="BB185" s="314"/>
      <c r="BC185" s="314"/>
      <c r="BD185" s="314"/>
      <c r="BE185" s="1315"/>
    </row>
    <row r="186" spans="2:57" x14ac:dyDescent="0.25">
      <c r="B186" s="303" t="str">
        <f>B164</f>
        <v>Operations &amp; Maintenance Expenses, excluding fuel cost</v>
      </c>
      <c r="C186" s="304"/>
      <c r="D186" s="304"/>
      <c r="E186" s="307"/>
      <c r="F186" s="307" t="s">
        <v>22</v>
      </c>
      <c r="G186" s="314"/>
      <c r="H186" s="314">
        <f>-H164</f>
        <v>0</v>
      </c>
      <c r="I186" s="314">
        <f t="shared" ref="I186:BE186" si="64">-I164</f>
        <v>0</v>
      </c>
      <c r="J186" s="314">
        <f t="shared" si="64"/>
        <v>0</v>
      </c>
      <c r="K186" s="314">
        <f t="shared" si="64"/>
        <v>0</v>
      </c>
      <c r="L186" s="314">
        <f t="shared" si="64"/>
        <v>0</v>
      </c>
      <c r="M186" s="314">
        <f t="shared" si="64"/>
        <v>0</v>
      </c>
      <c r="N186" s="314">
        <f t="shared" si="64"/>
        <v>0</v>
      </c>
      <c r="O186" s="314">
        <f t="shared" si="64"/>
        <v>0</v>
      </c>
      <c r="P186" s="314">
        <f t="shared" si="64"/>
        <v>0</v>
      </c>
      <c r="Q186" s="314">
        <f t="shared" si="64"/>
        <v>0</v>
      </c>
      <c r="R186" s="314">
        <f t="shared" si="64"/>
        <v>0</v>
      </c>
      <c r="S186" s="314">
        <f t="shared" si="64"/>
        <v>0</v>
      </c>
      <c r="T186" s="314">
        <f t="shared" si="64"/>
        <v>0</v>
      </c>
      <c r="U186" s="314">
        <f t="shared" si="64"/>
        <v>0</v>
      </c>
      <c r="V186" s="314">
        <f t="shared" si="64"/>
        <v>0</v>
      </c>
      <c r="W186" s="314">
        <f t="shared" si="64"/>
        <v>0</v>
      </c>
      <c r="X186" s="314">
        <f t="shared" si="64"/>
        <v>0</v>
      </c>
      <c r="Y186" s="314">
        <f t="shared" si="64"/>
        <v>0</v>
      </c>
      <c r="Z186" s="314">
        <f t="shared" si="64"/>
        <v>0</v>
      </c>
      <c r="AA186" s="314">
        <f t="shared" si="64"/>
        <v>0</v>
      </c>
      <c r="AB186" s="314">
        <f t="shared" si="64"/>
        <v>0</v>
      </c>
      <c r="AC186" s="314">
        <f t="shared" si="64"/>
        <v>0</v>
      </c>
      <c r="AD186" s="314">
        <f t="shared" si="64"/>
        <v>0</v>
      </c>
      <c r="AE186" s="314">
        <f t="shared" si="64"/>
        <v>0</v>
      </c>
      <c r="AF186" s="314">
        <f t="shared" si="64"/>
        <v>0</v>
      </c>
      <c r="AG186" s="314">
        <f t="shared" si="64"/>
        <v>0</v>
      </c>
      <c r="AH186" s="314">
        <f t="shared" si="64"/>
        <v>0</v>
      </c>
      <c r="AI186" s="314">
        <f t="shared" si="64"/>
        <v>0</v>
      </c>
      <c r="AJ186" s="314">
        <f t="shared" si="64"/>
        <v>0</v>
      </c>
      <c r="AK186" s="314">
        <f t="shared" si="64"/>
        <v>0</v>
      </c>
      <c r="AL186" s="314">
        <f t="shared" si="64"/>
        <v>0</v>
      </c>
      <c r="AM186" s="314">
        <f t="shared" si="64"/>
        <v>0</v>
      </c>
      <c r="AN186" s="314">
        <f t="shared" si="64"/>
        <v>0</v>
      </c>
      <c r="AO186" s="314">
        <f t="shared" si="64"/>
        <v>0</v>
      </c>
      <c r="AP186" s="314">
        <f t="shared" si="64"/>
        <v>0</v>
      </c>
      <c r="AQ186" s="314">
        <f t="shared" si="64"/>
        <v>0</v>
      </c>
      <c r="AR186" s="314">
        <f t="shared" si="64"/>
        <v>0</v>
      </c>
      <c r="AS186" s="314">
        <f t="shared" si="64"/>
        <v>0</v>
      </c>
      <c r="AT186" s="314">
        <f t="shared" si="64"/>
        <v>0</v>
      </c>
      <c r="AU186" s="314">
        <f t="shared" si="64"/>
        <v>0</v>
      </c>
      <c r="AV186" s="314">
        <f t="shared" si="64"/>
        <v>0</v>
      </c>
      <c r="AW186" s="314">
        <f t="shared" si="64"/>
        <v>0</v>
      </c>
      <c r="AX186" s="314">
        <f t="shared" si="64"/>
        <v>0</v>
      </c>
      <c r="AY186" s="314">
        <f t="shared" si="64"/>
        <v>0</v>
      </c>
      <c r="AZ186" s="314">
        <f t="shared" si="64"/>
        <v>0</v>
      </c>
      <c r="BA186" s="314">
        <f t="shared" si="64"/>
        <v>0</v>
      </c>
      <c r="BB186" s="314">
        <f t="shared" si="64"/>
        <v>0</v>
      </c>
      <c r="BC186" s="314">
        <f t="shared" si="64"/>
        <v>0</v>
      </c>
      <c r="BD186" s="314">
        <f t="shared" si="64"/>
        <v>0</v>
      </c>
      <c r="BE186" s="1315">
        <f t="shared" si="64"/>
        <v>0</v>
      </c>
    </row>
    <row r="187" spans="2:57" x14ac:dyDescent="0.25">
      <c r="B187" s="303" t="s">
        <v>41</v>
      </c>
      <c r="C187" s="304"/>
      <c r="D187" s="304"/>
      <c r="E187" s="307"/>
      <c r="F187" s="307" t="s">
        <v>22</v>
      </c>
      <c r="G187" s="314"/>
      <c r="H187" s="314">
        <f>-H172</f>
        <v>0</v>
      </c>
      <c r="I187" s="314">
        <f t="shared" ref="I187:BE187" si="65">-I172</f>
        <v>0</v>
      </c>
      <c r="J187" s="314">
        <f t="shared" si="65"/>
        <v>0</v>
      </c>
      <c r="K187" s="314">
        <f t="shared" si="65"/>
        <v>0</v>
      </c>
      <c r="L187" s="314">
        <f t="shared" si="65"/>
        <v>0</v>
      </c>
      <c r="M187" s="314">
        <f t="shared" si="65"/>
        <v>0</v>
      </c>
      <c r="N187" s="314">
        <f t="shared" si="65"/>
        <v>0</v>
      </c>
      <c r="O187" s="314">
        <f t="shared" si="65"/>
        <v>0</v>
      </c>
      <c r="P187" s="314">
        <f t="shared" si="65"/>
        <v>0</v>
      </c>
      <c r="Q187" s="314">
        <f t="shared" si="65"/>
        <v>0</v>
      </c>
      <c r="R187" s="314">
        <f t="shared" si="65"/>
        <v>0</v>
      </c>
      <c r="S187" s="314">
        <f t="shared" si="65"/>
        <v>0</v>
      </c>
      <c r="T187" s="314">
        <f t="shared" si="65"/>
        <v>0</v>
      </c>
      <c r="U187" s="314">
        <f t="shared" si="65"/>
        <v>0</v>
      </c>
      <c r="V187" s="314">
        <f t="shared" si="65"/>
        <v>0</v>
      </c>
      <c r="W187" s="314">
        <f t="shared" si="65"/>
        <v>0</v>
      </c>
      <c r="X187" s="314">
        <f t="shared" si="65"/>
        <v>0</v>
      </c>
      <c r="Y187" s="314">
        <f t="shared" si="65"/>
        <v>0</v>
      </c>
      <c r="Z187" s="314">
        <f t="shared" si="65"/>
        <v>0</v>
      </c>
      <c r="AA187" s="314">
        <f t="shared" si="65"/>
        <v>0</v>
      </c>
      <c r="AB187" s="314">
        <f t="shared" si="65"/>
        <v>0</v>
      </c>
      <c r="AC187" s="314">
        <f t="shared" si="65"/>
        <v>0</v>
      </c>
      <c r="AD187" s="314">
        <f t="shared" si="65"/>
        <v>0</v>
      </c>
      <c r="AE187" s="314">
        <f t="shared" si="65"/>
        <v>0</v>
      </c>
      <c r="AF187" s="314">
        <f t="shared" si="65"/>
        <v>0</v>
      </c>
      <c r="AG187" s="314">
        <f t="shared" si="65"/>
        <v>0</v>
      </c>
      <c r="AH187" s="314">
        <f t="shared" si="65"/>
        <v>0</v>
      </c>
      <c r="AI187" s="314">
        <f t="shared" si="65"/>
        <v>0</v>
      </c>
      <c r="AJ187" s="314">
        <f t="shared" si="65"/>
        <v>0</v>
      </c>
      <c r="AK187" s="314">
        <f t="shared" si="65"/>
        <v>0</v>
      </c>
      <c r="AL187" s="314">
        <f t="shared" si="65"/>
        <v>0</v>
      </c>
      <c r="AM187" s="314">
        <f t="shared" si="65"/>
        <v>0</v>
      </c>
      <c r="AN187" s="314">
        <f t="shared" si="65"/>
        <v>0</v>
      </c>
      <c r="AO187" s="314">
        <f t="shared" si="65"/>
        <v>0</v>
      </c>
      <c r="AP187" s="314">
        <f t="shared" si="65"/>
        <v>0</v>
      </c>
      <c r="AQ187" s="314">
        <f t="shared" si="65"/>
        <v>0</v>
      </c>
      <c r="AR187" s="314">
        <f t="shared" si="65"/>
        <v>0</v>
      </c>
      <c r="AS187" s="314">
        <f t="shared" si="65"/>
        <v>0</v>
      </c>
      <c r="AT187" s="314">
        <f t="shared" si="65"/>
        <v>0</v>
      </c>
      <c r="AU187" s="314">
        <f t="shared" si="65"/>
        <v>0</v>
      </c>
      <c r="AV187" s="314">
        <f t="shared" si="65"/>
        <v>0</v>
      </c>
      <c r="AW187" s="314">
        <f t="shared" si="65"/>
        <v>0</v>
      </c>
      <c r="AX187" s="314">
        <f t="shared" si="65"/>
        <v>0</v>
      </c>
      <c r="AY187" s="314">
        <f t="shared" si="65"/>
        <v>0</v>
      </c>
      <c r="AZ187" s="314">
        <f t="shared" si="65"/>
        <v>0</v>
      </c>
      <c r="BA187" s="314">
        <f t="shared" si="65"/>
        <v>0</v>
      </c>
      <c r="BB187" s="314">
        <f t="shared" si="65"/>
        <v>0</v>
      </c>
      <c r="BC187" s="314">
        <f t="shared" si="65"/>
        <v>0</v>
      </c>
      <c r="BD187" s="314">
        <f t="shared" si="65"/>
        <v>0</v>
      </c>
      <c r="BE187" s="1315">
        <f t="shared" si="65"/>
        <v>0</v>
      </c>
    </row>
    <row r="188" spans="2:57" x14ac:dyDescent="0.25">
      <c r="B188" s="303" t="str">
        <f>B179</f>
        <v xml:space="preserve">Front-end Fees </v>
      </c>
      <c r="C188" s="304"/>
      <c r="D188" s="304"/>
      <c r="E188" s="307"/>
      <c r="F188" s="307" t="s">
        <v>22</v>
      </c>
      <c r="G188" s="314"/>
      <c r="H188" s="314">
        <f>-H179</f>
        <v>0</v>
      </c>
      <c r="I188" s="314">
        <f t="shared" ref="I188:BE188" si="66">-I179</f>
        <v>0</v>
      </c>
      <c r="J188" s="314">
        <f t="shared" si="66"/>
        <v>0</v>
      </c>
      <c r="K188" s="314">
        <f t="shared" si="66"/>
        <v>0</v>
      </c>
      <c r="L188" s="314">
        <f t="shared" si="66"/>
        <v>0</v>
      </c>
      <c r="M188" s="314">
        <f t="shared" si="66"/>
        <v>0</v>
      </c>
      <c r="N188" s="314">
        <f t="shared" si="66"/>
        <v>0</v>
      </c>
      <c r="O188" s="314">
        <f t="shared" si="66"/>
        <v>0</v>
      </c>
      <c r="P188" s="314">
        <f t="shared" si="66"/>
        <v>0</v>
      </c>
      <c r="Q188" s="314">
        <f t="shared" si="66"/>
        <v>0</v>
      </c>
      <c r="R188" s="314">
        <f t="shared" si="66"/>
        <v>0</v>
      </c>
      <c r="S188" s="314">
        <f t="shared" si="66"/>
        <v>0</v>
      </c>
      <c r="T188" s="314">
        <f t="shared" si="66"/>
        <v>0</v>
      </c>
      <c r="U188" s="314">
        <f t="shared" si="66"/>
        <v>0</v>
      </c>
      <c r="V188" s="314">
        <f t="shared" si="66"/>
        <v>0</v>
      </c>
      <c r="W188" s="314">
        <f t="shared" si="66"/>
        <v>0</v>
      </c>
      <c r="X188" s="314">
        <f t="shared" si="66"/>
        <v>0</v>
      </c>
      <c r="Y188" s="314">
        <f t="shared" si="66"/>
        <v>0</v>
      </c>
      <c r="Z188" s="314">
        <f t="shared" si="66"/>
        <v>0</v>
      </c>
      <c r="AA188" s="314">
        <f t="shared" si="66"/>
        <v>0</v>
      </c>
      <c r="AB188" s="314">
        <f t="shared" si="66"/>
        <v>0</v>
      </c>
      <c r="AC188" s="314">
        <f t="shared" si="66"/>
        <v>0</v>
      </c>
      <c r="AD188" s="314">
        <f t="shared" si="66"/>
        <v>0</v>
      </c>
      <c r="AE188" s="314">
        <f t="shared" si="66"/>
        <v>0</v>
      </c>
      <c r="AF188" s="314">
        <f t="shared" si="66"/>
        <v>0</v>
      </c>
      <c r="AG188" s="314">
        <f t="shared" si="66"/>
        <v>0</v>
      </c>
      <c r="AH188" s="314">
        <f t="shared" si="66"/>
        <v>0</v>
      </c>
      <c r="AI188" s="314">
        <f t="shared" si="66"/>
        <v>0</v>
      </c>
      <c r="AJ188" s="314">
        <f t="shared" si="66"/>
        <v>0</v>
      </c>
      <c r="AK188" s="314">
        <f t="shared" si="66"/>
        <v>0</v>
      </c>
      <c r="AL188" s="314">
        <f t="shared" si="66"/>
        <v>0</v>
      </c>
      <c r="AM188" s="314">
        <f t="shared" si="66"/>
        <v>0</v>
      </c>
      <c r="AN188" s="314">
        <f t="shared" si="66"/>
        <v>0</v>
      </c>
      <c r="AO188" s="314">
        <f t="shared" si="66"/>
        <v>0</v>
      </c>
      <c r="AP188" s="314">
        <f t="shared" si="66"/>
        <v>0</v>
      </c>
      <c r="AQ188" s="314">
        <f t="shared" si="66"/>
        <v>0</v>
      </c>
      <c r="AR188" s="314">
        <f t="shared" si="66"/>
        <v>0</v>
      </c>
      <c r="AS188" s="314">
        <f t="shared" si="66"/>
        <v>0</v>
      </c>
      <c r="AT188" s="314">
        <f t="shared" si="66"/>
        <v>0</v>
      </c>
      <c r="AU188" s="314">
        <f t="shared" si="66"/>
        <v>0</v>
      </c>
      <c r="AV188" s="314">
        <f t="shared" si="66"/>
        <v>0</v>
      </c>
      <c r="AW188" s="314">
        <f t="shared" si="66"/>
        <v>0</v>
      </c>
      <c r="AX188" s="314">
        <f t="shared" si="66"/>
        <v>0</v>
      </c>
      <c r="AY188" s="314">
        <f t="shared" si="66"/>
        <v>0</v>
      </c>
      <c r="AZ188" s="314">
        <f t="shared" si="66"/>
        <v>0</v>
      </c>
      <c r="BA188" s="314">
        <f t="shared" si="66"/>
        <v>0</v>
      </c>
      <c r="BB188" s="314">
        <f t="shared" si="66"/>
        <v>0</v>
      </c>
      <c r="BC188" s="314">
        <f t="shared" si="66"/>
        <v>0</v>
      </c>
      <c r="BD188" s="314">
        <f t="shared" si="66"/>
        <v>0</v>
      </c>
      <c r="BE188" s="1315">
        <f t="shared" si="66"/>
        <v>0</v>
      </c>
    </row>
    <row r="189" spans="2:57" x14ac:dyDescent="0.25">
      <c r="B189" s="303" t="str">
        <f>B180</f>
        <v xml:space="preserve">Public Guarantee Fees </v>
      </c>
      <c r="C189" s="304"/>
      <c r="D189" s="304"/>
      <c r="E189" s="307"/>
      <c r="F189" s="307" t="s">
        <v>22</v>
      </c>
      <c r="G189" s="314"/>
      <c r="H189" s="314">
        <f>-H180</f>
        <v>0</v>
      </c>
      <c r="I189" s="314">
        <f t="shared" ref="I189:BE189" si="67">-I180</f>
        <v>0</v>
      </c>
      <c r="J189" s="314">
        <f t="shared" si="67"/>
        <v>0</v>
      </c>
      <c r="K189" s="314">
        <f t="shared" si="67"/>
        <v>0</v>
      </c>
      <c r="L189" s="314">
        <f t="shared" si="67"/>
        <v>0</v>
      </c>
      <c r="M189" s="314">
        <f t="shared" si="67"/>
        <v>0</v>
      </c>
      <c r="N189" s="314">
        <f t="shared" si="67"/>
        <v>0</v>
      </c>
      <c r="O189" s="314">
        <f t="shared" si="67"/>
        <v>0</v>
      </c>
      <c r="P189" s="314">
        <f t="shared" si="67"/>
        <v>0</v>
      </c>
      <c r="Q189" s="314">
        <f t="shared" si="67"/>
        <v>0</v>
      </c>
      <c r="R189" s="314">
        <f t="shared" si="67"/>
        <v>0</v>
      </c>
      <c r="S189" s="314">
        <f t="shared" si="67"/>
        <v>0</v>
      </c>
      <c r="T189" s="314">
        <f t="shared" si="67"/>
        <v>0</v>
      </c>
      <c r="U189" s="314">
        <f t="shared" si="67"/>
        <v>0</v>
      </c>
      <c r="V189" s="314">
        <f t="shared" si="67"/>
        <v>0</v>
      </c>
      <c r="W189" s="314">
        <f t="shared" si="67"/>
        <v>0</v>
      </c>
      <c r="X189" s="314">
        <f t="shared" si="67"/>
        <v>0</v>
      </c>
      <c r="Y189" s="314">
        <f t="shared" si="67"/>
        <v>0</v>
      </c>
      <c r="Z189" s="314">
        <f t="shared" si="67"/>
        <v>0</v>
      </c>
      <c r="AA189" s="314">
        <f t="shared" si="67"/>
        <v>0</v>
      </c>
      <c r="AB189" s="314">
        <f t="shared" si="67"/>
        <v>0</v>
      </c>
      <c r="AC189" s="314">
        <f t="shared" si="67"/>
        <v>0</v>
      </c>
      <c r="AD189" s="314">
        <f t="shared" si="67"/>
        <v>0</v>
      </c>
      <c r="AE189" s="314">
        <f t="shared" si="67"/>
        <v>0</v>
      </c>
      <c r="AF189" s="314">
        <f t="shared" si="67"/>
        <v>0</v>
      </c>
      <c r="AG189" s="314">
        <f t="shared" si="67"/>
        <v>0</v>
      </c>
      <c r="AH189" s="314">
        <f t="shared" si="67"/>
        <v>0</v>
      </c>
      <c r="AI189" s="314">
        <f t="shared" si="67"/>
        <v>0</v>
      </c>
      <c r="AJ189" s="314">
        <f t="shared" si="67"/>
        <v>0</v>
      </c>
      <c r="AK189" s="314">
        <f t="shared" si="67"/>
        <v>0</v>
      </c>
      <c r="AL189" s="314">
        <f t="shared" si="67"/>
        <v>0</v>
      </c>
      <c r="AM189" s="314">
        <f t="shared" si="67"/>
        <v>0</v>
      </c>
      <c r="AN189" s="314">
        <f t="shared" si="67"/>
        <v>0</v>
      </c>
      <c r="AO189" s="314">
        <f t="shared" si="67"/>
        <v>0</v>
      </c>
      <c r="AP189" s="314">
        <f t="shared" si="67"/>
        <v>0</v>
      </c>
      <c r="AQ189" s="314">
        <f t="shared" si="67"/>
        <v>0</v>
      </c>
      <c r="AR189" s="314">
        <f t="shared" si="67"/>
        <v>0</v>
      </c>
      <c r="AS189" s="314">
        <f t="shared" si="67"/>
        <v>0</v>
      </c>
      <c r="AT189" s="314">
        <f t="shared" si="67"/>
        <v>0</v>
      </c>
      <c r="AU189" s="314">
        <f t="shared" si="67"/>
        <v>0</v>
      </c>
      <c r="AV189" s="314">
        <f t="shared" si="67"/>
        <v>0</v>
      </c>
      <c r="AW189" s="314">
        <f t="shared" si="67"/>
        <v>0</v>
      </c>
      <c r="AX189" s="314">
        <f t="shared" si="67"/>
        <v>0</v>
      </c>
      <c r="AY189" s="314">
        <f t="shared" si="67"/>
        <v>0</v>
      </c>
      <c r="AZ189" s="314">
        <f t="shared" si="67"/>
        <v>0</v>
      </c>
      <c r="BA189" s="314">
        <f t="shared" si="67"/>
        <v>0</v>
      </c>
      <c r="BB189" s="314">
        <f t="shared" si="67"/>
        <v>0</v>
      </c>
      <c r="BC189" s="314">
        <f t="shared" si="67"/>
        <v>0</v>
      </c>
      <c r="BD189" s="314">
        <f t="shared" si="67"/>
        <v>0</v>
      </c>
      <c r="BE189" s="1315">
        <f t="shared" si="67"/>
        <v>0</v>
      </c>
    </row>
    <row r="190" spans="2:57" x14ac:dyDescent="0.25">
      <c r="B190" s="303" t="str">
        <f>B181</f>
        <v>Political Risk Insurance - Fees &amp; Annual Premium Payments</v>
      </c>
      <c r="C190" s="304"/>
      <c r="D190" s="304"/>
      <c r="E190" s="307"/>
      <c r="F190" s="307" t="s">
        <v>22</v>
      </c>
      <c r="G190" s="314"/>
      <c r="H190" s="314">
        <f>-H181</f>
        <v>0</v>
      </c>
      <c r="I190" s="314">
        <f t="shared" ref="I190:BE190" si="68">-I181</f>
        <v>0</v>
      </c>
      <c r="J190" s="314">
        <f t="shared" si="68"/>
        <v>0</v>
      </c>
      <c r="K190" s="314">
        <f t="shared" si="68"/>
        <v>0</v>
      </c>
      <c r="L190" s="314">
        <f t="shared" si="68"/>
        <v>0</v>
      </c>
      <c r="M190" s="314">
        <f t="shared" si="68"/>
        <v>0</v>
      </c>
      <c r="N190" s="314">
        <f t="shared" si="68"/>
        <v>0</v>
      </c>
      <c r="O190" s="314">
        <f t="shared" si="68"/>
        <v>0</v>
      </c>
      <c r="P190" s="314">
        <f t="shared" si="68"/>
        <v>0</v>
      </c>
      <c r="Q190" s="314">
        <f t="shared" si="68"/>
        <v>0</v>
      </c>
      <c r="R190" s="314">
        <f t="shared" si="68"/>
        <v>0</v>
      </c>
      <c r="S190" s="314">
        <f t="shared" si="68"/>
        <v>0</v>
      </c>
      <c r="T190" s="314">
        <f t="shared" si="68"/>
        <v>0</v>
      </c>
      <c r="U190" s="314">
        <f t="shared" si="68"/>
        <v>0</v>
      </c>
      <c r="V190" s="314">
        <f t="shared" si="68"/>
        <v>0</v>
      </c>
      <c r="W190" s="314">
        <f t="shared" si="68"/>
        <v>0</v>
      </c>
      <c r="X190" s="314">
        <f t="shared" si="68"/>
        <v>0</v>
      </c>
      <c r="Y190" s="314">
        <f t="shared" si="68"/>
        <v>0</v>
      </c>
      <c r="Z190" s="314">
        <f t="shared" si="68"/>
        <v>0</v>
      </c>
      <c r="AA190" s="314">
        <f t="shared" si="68"/>
        <v>0</v>
      </c>
      <c r="AB190" s="314">
        <f t="shared" si="68"/>
        <v>0</v>
      </c>
      <c r="AC190" s="314">
        <f t="shared" si="68"/>
        <v>0</v>
      </c>
      <c r="AD190" s="314">
        <f t="shared" si="68"/>
        <v>0</v>
      </c>
      <c r="AE190" s="314">
        <f t="shared" si="68"/>
        <v>0</v>
      </c>
      <c r="AF190" s="314">
        <f t="shared" si="68"/>
        <v>0</v>
      </c>
      <c r="AG190" s="314">
        <f t="shared" si="68"/>
        <v>0</v>
      </c>
      <c r="AH190" s="314">
        <f t="shared" si="68"/>
        <v>0</v>
      </c>
      <c r="AI190" s="314">
        <f t="shared" si="68"/>
        <v>0</v>
      </c>
      <c r="AJ190" s="314">
        <f t="shared" si="68"/>
        <v>0</v>
      </c>
      <c r="AK190" s="314">
        <f t="shared" si="68"/>
        <v>0</v>
      </c>
      <c r="AL190" s="314">
        <f t="shared" si="68"/>
        <v>0</v>
      </c>
      <c r="AM190" s="314">
        <f t="shared" si="68"/>
        <v>0</v>
      </c>
      <c r="AN190" s="314">
        <f t="shared" si="68"/>
        <v>0</v>
      </c>
      <c r="AO190" s="314">
        <f t="shared" si="68"/>
        <v>0</v>
      </c>
      <c r="AP190" s="314">
        <f t="shared" si="68"/>
        <v>0</v>
      </c>
      <c r="AQ190" s="314">
        <f t="shared" si="68"/>
        <v>0</v>
      </c>
      <c r="AR190" s="314">
        <f t="shared" si="68"/>
        <v>0</v>
      </c>
      <c r="AS190" s="314">
        <f t="shared" si="68"/>
        <v>0</v>
      </c>
      <c r="AT190" s="314">
        <f t="shared" si="68"/>
        <v>0</v>
      </c>
      <c r="AU190" s="314">
        <f t="shared" si="68"/>
        <v>0</v>
      </c>
      <c r="AV190" s="314">
        <f t="shared" si="68"/>
        <v>0</v>
      </c>
      <c r="AW190" s="314">
        <f t="shared" si="68"/>
        <v>0</v>
      </c>
      <c r="AX190" s="314">
        <f t="shared" si="68"/>
        <v>0</v>
      </c>
      <c r="AY190" s="314">
        <f t="shared" si="68"/>
        <v>0</v>
      </c>
      <c r="AZ190" s="314">
        <f t="shared" si="68"/>
        <v>0</v>
      </c>
      <c r="BA190" s="314">
        <f t="shared" si="68"/>
        <v>0</v>
      </c>
      <c r="BB190" s="314">
        <f t="shared" si="68"/>
        <v>0</v>
      </c>
      <c r="BC190" s="314">
        <f t="shared" si="68"/>
        <v>0</v>
      </c>
      <c r="BD190" s="314">
        <f t="shared" si="68"/>
        <v>0</v>
      </c>
      <c r="BE190" s="1315">
        <f t="shared" si="68"/>
        <v>0</v>
      </c>
    </row>
    <row r="191" spans="2:57" x14ac:dyDescent="0.25">
      <c r="B191" s="303" t="s">
        <v>102</v>
      </c>
      <c r="C191" s="304"/>
      <c r="D191" s="304"/>
      <c r="E191" s="307"/>
      <c r="F191" s="307" t="s">
        <v>22</v>
      </c>
      <c r="G191" s="314"/>
      <c r="H191" s="314">
        <f>-(H541+H562+H583)</f>
        <v>0</v>
      </c>
      <c r="I191" s="314">
        <f t="shared" ref="I191:BE191" si="69">-(I541+I562+I583)</f>
        <v>0</v>
      </c>
      <c r="J191" s="314">
        <f t="shared" si="69"/>
        <v>0</v>
      </c>
      <c r="K191" s="314">
        <f t="shared" si="69"/>
        <v>0</v>
      </c>
      <c r="L191" s="314">
        <f t="shared" si="69"/>
        <v>0</v>
      </c>
      <c r="M191" s="314">
        <f t="shared" si="69"/>
        <v>0</v>
      </c>
      <c r="N191" s="314">
        <f t="shared" si="69"/>
        <v>0</v>
      </c>
      <c r="O191" s="314">
        <f t="shared" si="69"/>
        <v>0</v>
      </c>
      <c r="P191" s="314">
        <f t="shared" si="69"/>
        <v>0</v>
      </c>
      <c r="Q191" s="314">
        <f t="shared" si="69"/>
        <v>0</v>
      </c>
      <c r="R191" s="314">
        <f t="shared" si="69"/>
        <v>0</v>
      </c>
      <c r="S191" s="314">
        <f t="shared" si="69"/>
        <v>0</v>
      </c>
      <c r="T191" s="314">
        <f t="shared" si="69"/>
        <v>0</v>
      </c>
      <c r="U191" s="314">
        <f t="shared" si="69"/>
        <v>0</v>
      </c>
      <c r="V191" s="314">
        <f t="shared" si="69"/>
        <v>0</v>
      </c>
      <c r="W191" s="314">
        <f t="shared" si="69"/>
        <v>0</v>
      </c>
      <c r="X191" s="314">
        <f t="shared" si="69"/>
        <v>0</v>
      </c>
      <c r="Y191" s="314">
        <f t="shared" si="69"/>
        <v>0</v>
      </c>
      <c r="Z191" s="314">
        <f t="shared" si="69"/>
        <v>0</v>
      </c>
      <c r="AA191" s="314">
        <f t="shared" si="69"/>
        <v>0</v>
      </c>
      <c r="AB191" s="314">
        <f t="shared" si="69"/>
        <v>0</v>
      </c>
      <c r="AC191" s="314">
        <f t="shared" si="69"/>
        <v>0</v>
      </c>
      <c r="AD191" s="314">
        <f t="shared" si="69"/>
        <v>0</v>
      </c>
      <c r="AE191" s="314">
        <f t="shared" si="69"/>
        <v>0</v>
      </c>
      <c r="AF191" s="314">
        <f t="shared" si="69"/>
        <v>0</v>
      </c>
      <c r="AG191" s="314">
        <f t="shared" si="69"/>
        <v>0</v>
      </c>
      <c r="AH191" s="314">
        <f t="shared" si="69"/>
        <v>0</v>
      </c>
      <c r="AI191" s="314">
        <f t="shared" si="69"/>
        <v>0</v>
      </c>
      <c r="AJ191" s="314">
        <f t="shared" si="69"/>
        <v>0</v>
      </c>
      <c r="AK191" s="314">
        <f t="shared" si="69"/>
        <v>0</v>
      </c>
      <c r="AL191" s="314">
        <f t="shared" si="69"/>
        <v>0</v>
      </c>
      <c r="AM191" s="314">
        <f t="shared" si="69"/>
        <v>0</v>
      </c>
      <c r="AN191" s="314">
        <f t="shared" si="69"/>
        <v>0</v>
      </c>
      <c r="AO191" s="314">
        <f t="shared" si="69"/>
        <v>0</v>
      </c>
      <c r="AP191" s="314">
        <f t="shared" si="69"/>
        <v>0</v>
      </c>
      <c r="AQ191" s="314">
        <f t="shared" si="69"/>
        <v>0</v>
      </c>
      <c r="AR191" s="314">
        <f t="shared" si="69"/>
        <v>0</v>
      </c>
      <c r="AS191" s="314">
        <f t="shared" si="69"/>
        <v>0</v>
      </c>
      <c r="AT191" s="314">
        <f t="shared" si="69"/>
        <v>0</v>
      </c>
      <c r="AU191" s="314">
        <f t="shared" si="69"/>
        <v>0</v>
      </c>
      <c r="AV191" s="314">
        <f t="shared" si="69"/>
        <v>0</v>
      </c>
      <c r="AW191" s="314">
        <f t="shared" si="69"/>
        <v>0</v>
      </c>
      <c r="AX191" s="314">
        <f t="shared" si="69"/>
        <v>0</v>
      </c>
      <c r="AY191" s="314">
        <f t="shared" si="69"/>
        <v>0</v>
      </c>
      <c r="AZ191" s="314">
        <f t="shared" si="69"/>
        <v>0</v>
      </c>
      <c r="BA191" s="314">
        <f t="shared" si="69"/>
        <v>0</v>
      </c>
      <c r="BB191" s="314">
        <f t="shared" si="69"/>
        <v>0</v>
      </c>
      <c r="BC191" s="314">
        <f t="shared" si="69"/>
        <v>0</v>
      </c>
      <c r="BD191" s="314">
        <f t="shared" si="69"/>
        <v>0</v>
      </c>
      <c r="BE191" s="314">
        <f t="shared" si="69"/>
        <v>0</v>
      </c>
    </row>
    <row r="192" spans="2:57" x14ac:dyDescent="0.25">
      <c r="B192" s="316" t="s">
        <v>103</v>
      </c>
      <c r="C192" s="311"/>
      <c r="D192" s="311"/>
      <c r="E192" s="312"/>
      <c r="F192" s="312" t="s">
        <v>22</v>
      </c>
      <c r="G192" s="1316"/>
      <c r="H192" s="1316">
        <f>(H164+H172+H174+H179+H180+H181+H176+H177+H178)*'II. Inputs, Baseline Energy Mix'!$Q$19</f>
        <v>0</v>
      </c>
      <c r="I192" s="1316">
        <f>(I164+I172+I174+I179+I180+I181+I176+I177+I178)*'II. Inputs, Baseline Energy Mix'!$P$19</f>
        <v>0</v>
      </c>
      <c r="J192" s="1316">
        <f>(J164+J172+J174+J179+J180+J181+J176+J177+J178)*'II. Inputs, Baseline Energy Mix'!$P$19</f>
        <v>0</v>
      </c>
      <c r="K192" s="1316">
        <f>(K164+K172+K174+K179+K180+K181+K176+K177+K178)*'II. Inputs, Baseline Energy Mix'!$P$19</f>
        <v>0</v>
      </c>
      <c r="L192" s="1316">
        <f>(L164+L172+L174+L179+L180+L181+L176+L177+L178)*'II. Inputs, Baseline Energy Mix'!$P$19</f>
        <v>0</v>
      </c>
      <c r="M192" s="1316">
        <f>(M164+M172+M174+M179+M180+M181+M176+M177+M178)*'II. Inputs, Baseline Energy Mix'!$P$19</f>
        <v>0</v>
      </c>
      <c r="N192" s="1316">
        <f>(N164+N172+N174+N179+N180+N181+N176+N177+N178)*'II. Inputs, Baseline Energy Mix'!$P$19</f>
        <v>0</v>
      </c>
      <c r="O192" s="1316">
        <f>(O164+O172+O174+O179+O180+O181+O176+O177+O178)*'II. Inputs, Baseline Energy Mix'!$P$19</f>
        <v>0</v>
      </c>
      <c r="P192" s="1316">
        <f>(P164+P172+P174+P179+P180+P181+P176+P177+P178)*'II. Inputs, Baseline Energy Mix'!$P$19</f>
        <v>0</v>
      </c>
      <c r="Q192" s="1316">
        <f>(Q164+Q172+Q174+Q179+Q180+Q181+Q176+Q177+Q178)*'II. Inputs, Baseline Energy Mix'!$P$19</f>
        <v>0</v>
      </c>
      <c r="R192" s="1316">
        <f>(R164+R172+R174+R179+R180+R181+R176+R177+R178)*'II. Inputs, Baseline Energy Mix'!$P$19</f>
        <v>0</v>
      </c>
      <c r="S192" s="1316">
        <f>(S164+S172+S174+S179+S180+S181+S176+S177+S178)*'II. Inputs, Baseline Energy Mix'!$P$19</f>
        <v>0</v>
      </c>
      <c r="T192" s="1316">
        <f>(T164+T172+T174+T179+T180+T181+T176+T177+T178)*'II. Inputs, Baseline Energy Mix'!$P$19</f>
        <v>0</v>
      </c>
      <c r="U192" s="1316">
        <f>(U164+U172+U174+U179+U180+U181+U176+U177+U178)*'II. Inputs, Baseline Energy Mix'!$P$19</f>
        <v>0</v>
      </c>
      <c r="V192" s="1316">
        <f>(V164+V172+V174+V179+V180+V181+V176+V177+V178)*'II. Inputs, Baseline Energy Mix'!$P$19</f>
        <v>0</v>
      </c>
      <c r="W192" s="1316">
        <f>(W164+W172+W174+W179+W180+W181+W176+W177+W178)*'II. Inputs, Baseline Energy Mix'!$P$19</f>
        <v>0</v>
      </c>
      <c r="X192" s="1316">
        <f>(X164+X172+X174+X179+X180+X181+X176+X177+X178)*'II. Inputs, Baseline Energy Mix'!$P$19</f>
        <v>0</v>
      </c>
      <c r="Y192" s="1316">
        <f>(Y164+Y172+Y174+Y179+Y180+Y181+Y176+Y177+Y178)*'II. Inputs, Baseline Energy Mix'!$P$19</f>
        <v>0</v>
      </c>
      <c r="Z192" s="1316">
        <f>(Z164+Z172+Z174+Z179+Z180+Z181+Z176+Z177+Z178)*'II. Inputs, Baseline Energy Mix'!$P$19</f>
        <v>0</v>
      </c>
      <c r="AA192" s="1316">
        <f>(AA164+AA172+AA174+AA179+AA180+AA181+AA176+AA177+AA178)*'II. Inputs, Baseline Energy Mix'!$P$19</f>
        <v>0</v>
      </c>
      <c r="AB192" s="1316">
        <f>(AB164+AB172+AB174+AB179+AB180+AB181+AB176+AB177+AB178)*'II. Inputs, Baseline Energy Mix'!$P$19</f>
        <v>0</v>
      </c>
      <c r="AC192" s="1316">
        <f>(AC164+AC172+AC174+AC179+AC180+AC181+AC176+AC177+AC178)*'II. Inputs, Baseline Energy Mix'!$P$19</f>
        <v>0</v>
      </c>
      <c r="AD192" s="1316">
        <f>(AD164+AD172+AD174+AD179+AD180+AD181+AD176+AD177+AD178)*'II. Inputs, Baseline Energy Mix'!$P$19</f>
        <v>0</v>
      </c>
      <c r="AE192" s="1316">
        <f>(AE164+AE172+AE174+AE179+AE180+AE181+AE176+AE177+AE178)*'II. Inputs, Baseline Energy Mix'!$P$19</f>
        <v>0</v>
      </c>
      <c r="AF192" s="1316">
        <f>(AF164+AF172+AF174+AF179+AF180+AF181+AF176+AF177+AF178)*'II. Inputs, Baseline Energy Mix'!$P$19</f>
        <v>0</v>
      </c>
      <c r="AG192" s="1316">
        <f>(AG164+AG172+AG174+AG179+AG180+AG181+AG176+AG177+AG178)*'II. Inputs, Baseline Energy Mix'!$P$19</f>
        <v>0</v>
      </c>
      <c r="AH192" s="1316">
        <f>(AH164+AH172+AH174+AH179+AH180+AH181+AH176+AH177+AH178)*'II. Inputs, Baseline Energy Mix'!$P$19</f>
        <v>0</v>
      </c>
      <c r="AI192" s="1316">
        <f>(AI164+AI172+AI174+AI179+AI180+AI181+AI176+AI177+AI178)*'II. Inputs, Baseline Energy Mix'!$P$19</f>
        <v>0</v>
      </c>
      <c r="AJ192" s="1316">
        <f>(AJ164+AJ172+AJ174+AJ179+AJ180+AJ181+AJ176+AJ177+AJ178)*'II. Inputs, Baseline Energy Mix'!$P$19</f>
        <v>0</v>
      </c>
      <c r="AK192" s="1316">
        <f>(AK164+AK172+AK174+AK179+AK180+AK181+AK176+AK177+AK178)*'II. Inputs, Baseline Energy Mix'!$P$19</f>
        <v>0</v>
      </c>
      <c r="AL192" s="1316">
        <f>(AL164+AL172+AL174+AL179+AL180+AL181+AL176+AL177+AL178)*'II. Inputs, Baseline Energy Mix'!$P$19</f>
        <v>0</v>
      </c>
      <c r="AM192" s="1316">
        <f>(AM164+AM172+AM174+AM179+AM180+AM181+AM176+AM177+AM178)*'II. Inputs, Baseline Energy Mix'!$P$19</f>
        <v>0</v>
      </c>
      <c r="AN192" s="1316">
        <f>(AN164+AN172+AN174+AN179+AN180+AN181+AN176+AN177+AN178)*'II. Inputs, Baseline Energy Mix'!$P$19</f>
        <v>0</v>
      </c>
      <c r="AO192" s="1316">
        <f>(AO164+AO172+AO174+AO179+AO180+AO181+AO176+AO177+AO178)*'II. Inputs, Baseline Energy Mix'!$P$19</f>
        <v>0</v>
      </c>
      <c r="AP192" s="1316">
        <f>(AP164+AP172+AP174+AP179+AP180+AP181+AP176+AP177+AP178)*'II. Inputs, Baseline Energy Mix'!$P$19</f>
        <v>0</v>
      </c>
      <c r="AQ192" s="1316">
        <f>(AQ164+AQ172+AQ174+AQ179+AQ180+AQ181+AQ176+AQ177+AQ178)*'II. Inputs, Baseline Energy Mix'!$P$19</f>
        <v>0</v>
      </c>
      <c r="AR192" s="1316">
        <f>(AR164+AR172+AR174+AR179+AR180+AR181+AR176+AR177+AR178)*'II. Inputs, Baseline Energy Mix'!$P$19</f>
        <v>0</v>
      </c>
      <c r="AS192" s="1316">
        <f>(AS164+AS172+AS174+AS179+AS180+AS181+AS176+AS177+AS178)*'II. Inputs, Baseline Energy Mix'!$P$19</f>
        <v>0</v>
      </c>
      <c r="AT192" s="1316">
        <f>(AT164+AT172+AT174+AT179+AT180+AT181+AT176+AT177+AT178)*'II. Inputs, Baseline Energy Mix'!$P$19</f>
        <v>0</v>
      </c>
      <c r="AU192" s="1316">
        <f>(AU164+AU172+AU174+AU179+AU180+AU181+AU176+AU177+AU178)*'II. Inputs, Baseline Energy Mix'!$P$19</f>
        <v>0</v>
      </c>
      <c r="AV192" s="1316">
        <f>(AV164+AV172+AV174+AV179+AV180+AV181+AV176+AV177+AV178)*'II. Inputs, Baseline Energy Mix'!$P$19</f>
        <v>0</v>
      </c>
      <c r="AW192" s="1316">
        <f>(AW164+AW172+AW174+AW179+AW180+AW181+AW176+AW177+AW178)*'II. Inputs, Baseline Energy Mix'!$P$19</f>
        <v>0</v>
      </c>
      <c r="AX192" s="1316">
        <f>(AX164+AX172+AX174+AX179+AX180+AX181+AX176+AX177+AX178)*'II. Inputs, Baseline Energy Mix'!$P$19</f>
        <v>0</v>
      </c>
      <c r="AY192" s="1316">
        <f>(AY164+AY172+AY174+AY179+AY180+AY181+AY176+AY177+AY178)*'II. Inputs, Baseline Energy Mix'!$P$19</f>
        <v>0</v>
      </c>
      <c r="AZ192" s="1316">
        <f>(AZ164+AZ172+AZ174+AZ179+AZ180+AZ181+AZ176+AZ177+AZ178)*'II. Inputs, Baseline Energy Mix'!$P$19</f>
        <v>0</v>
      </c>
      <c r="BA192" s="1316">
        <f>(BA164+BA172+BA174+BA179+BA180+BA181+BA176+BA177+BA178)*'II. Inputs, Baseline Energy Mix'!$P$19</f>
        <v>0</v>
      </c>
      <c r="BB192" s="1316">
        <f>(BB164+BB172+BB174+BB179+BB180+BB181+BB176+BB177+BB178)*'II. Inputs, Baseline Energy Mix'!$P$19</f>
        <v>0</v>
      </c>
      <c r="BC192" s="1316">
        <f>(BC164+BC172+BC174+BC179+BC180+BC181+BC176+BC177+BC178)*'II. Inputs, Baseline Energy Mix'!$P$19</f>
        <v>0</v>
      </c>
      <c r="BD192" s="1316">
        <f>(BD164+BD172+BD174+BD179+BD180+BD181+BD176+BD177+BD178)*'II. Inputs, Baseline Energy Mix'!$P$19</f>
        <v>0</v>
      </c>
      <c r="BE192" s="1317">
        <f>(BE164+BE172+BE174+BE179+BE180+BE181+BE176+BE177+BE178)*'II. Inputs, Baseline Energy Mix'!$P$19</f>
        <v>0</v>
      </c>
    </row>
    <row r="193" spans="2:57" x14ac:dyDescent="0.25">
      <c r="B193" s="303" t="s">
        <v>104</v>
      </c>
      <c r="C193" s="304"/>
      <c r="D193" s="304"/>
      <c r="E193" s="307"/>
      <c r="F193" s="307" t="s">
        <v>22</v>
      </c>
      <c r="G193" s="314">
        <f>-IF('II. Inputs, Baseline Energy Mix'!$Q$15&gt;0, 'II. Inputs, Baseline Energy Mix'!$Q$16*'II. Inputs, Baseline Energy Mix'!$Q$17*'II. Inputs, Baseline Energy Mix'!$Q$29,0)</f>
        <v>0</v>
      </c>
      <c r="H193" s="314">
        <f t="shared" ref="H193:AM193" si="70">SUM(H186:H192)</f>
        <v>0</v>
      </c>
      <c r="I193" s="314">
        <f t="shared" si="70"/>
        <v>0</v>
      </c>
      <c r="J193" s="314">
        <f t="shared" si="70"/>
        <v>0</v>
      </c>
      <c r="K193" s="314">
        <f t="shared" si="70"/>
        <v>0</v>
      </c>
      <c r="L193" s="314">
        <f t="shared" si="70"/>
        <v>0</v>
      </c>
      <c r="M193" s="314">
        <f t="shared" si="70"/>
        <v>0</v>
      </c>
      <c r="N193" s="314">
        <f t="shared" si="70"/>
        <v>0</v>
      </c>
      <c r="O193" s="314">
        <f t="shared" si="70"/>
        <v>0</v>
      </c>
      <c r="P193" s="314">
        <f t="shared" si="70"/>
        <v>0</v>
      </c>
      <c r="Q193" s="314">
        <f t="shared" si="70"/>
        <v>0</v>
      </c>
      <c r="R193" s="314">
        <f t="shared" si="70"/>
        <v>0</v>
      </c>
      <c r="S193" s="314">
        <f t="shared" si="70"/>
        <v>0</v>
      </c>
      <c r="T193" s="314">
        <f t="shared" si="70"/>
        <v>0</v>
      </c>
      <c r="U193" s="314">
        <f t="shared" si="70"/>
        <v>0</v>
      </c>
      <c r="V193" s="314">
        <f t="shared" si="70"/>
        <v>0</v>
      </c>
      <c r="W193" s="314">
        <f t="shared" si="70"/>
        <v>0</v>
      </c>
      <c r="X193" s="314">
        <f t="shared" si="70"/>
        <v>0</v>
      </c>
      <c r="Y193" s="314">
        <f t="shared" si="70"/>
        <v>0</v>
      </c>
      <c r="Z193" s="314">
        <f t="shared" si="70"/>
        <v>0</v>
      </c>
      <c r="AA193" s="314">
        <f t="shared" si="70"/>
        <v>0</v>
      </c>
      <c r="AB193" s="314">
        <f t="shared" si="70"/>
        <v>0</v>
      </c>
      <c r="AC193" s="314">
        <f t="shared" si="70"/>
        <v>0</v>
      </c>
      <c r="AD193" s="314">
        <f t="shared" si="70"/>
        <v>0</v>
      </c>
      <c r="AE193" s="314">
        <f t="shared" si="70"/>
        <v>0</v>
      </c>
      <c r="AF193" s="314">
        <f t="shared" si="70"/>
        <v>0</v>
      </c>
      <c r="AG193" s="314">
        <f t="shared" si="70"/>
        <v>0</v>
      </c>
      <c r="AH193" s="314">
        <f t="shared" si="70"/>
        <v>0</v>
      </c>
      <c r="AI193" s="314">
        <f t="shared" si="70"/>
        <v>0</v>
      </c>
      <c r="AJ193" s="314">
        <f t="shared" si="70"/>
        <v>0</v>
      </c>
      <c r="AK193" s="314">
        <f t="shared" si="70"/>
        <v>0</v>
      </c>
      <c r="AL193" s="314">
        <f t="shared" si="70"/>
        <v>0</v>
      </c>
      <c r="AM193" s="314">
        <f t="shared" si="70"/>
        <v>0</v>
      </c>
      <c r="AN193" s="314">
        <f t="shared" ref="AN193:BE193" si="71">SUM(AN186:AN192)</f>
        <v>0</v>
      </c>
      <c r="AO193" s="314">
        <f t="shared" si="71"/>
        <v>0</v>
      </c>
      <c r="AP193" s="314">
        <f t="shared" si="71"/>
        <v>0</v>
      </c>
      <c r="AQ193" s="314">
        <f t="shared" si="71"/>
        <v>0</v>
      </c>
      <c r="AR193" s="314">
        <f t="shared" si="71"/>
        <v>0</v>
      </c>
      <c r="AS193" s="314">
        <f t="shared" si="71"/>
        <v>0</v>
      </c>
      <c r="AT193" s="314">
        <f t="shared" si="71"/>
        <v>0</v>
      </c>
      <c r="AU193" s="314">
        <f t="shared" si="71"/>
        <v>0</v>
      </c>
      <c r="AV193" s="314">
        <f t="shared" si="71"/>
        <v>0</v>
      </c>
      <c r="AW193" s="314">
        <f t="shared" si="71"/>
        <v>0</v>
      </c>
      <c r="AX193" s="314">
        <f t="shared" si="71"/>
        <v>0</v>
      </c>
      <c r="AY193" s="314">
        <f t="shared" si="71"/>
        <v>0</v>
      </c>
      <c r="AZ193" s="314">
        <f t="shared" si="71"/>
        <v>0</v>
      </c>
      <c r="BA193" s="314">
        <f t="shared" si="71"/>
        <v>0</v>
      </c>
      <c r="BB193" s="314">
        <f t="shared" si="71"/>
        <v>0</v>
      </c>
      <c r="BC193" s="314">
        <f t="shared" si="71"/>
        <v>0</v>
      </c>
      <c r="BD193" s="314">
        <f t="shared" si="71"/>
        <v>0</v>
      </c>
      <c r="BE193" s="1315">
        <f t="shared" si="71"/>
        <v>0</v>
      </c>
    </row>
    <row r="194" spans="2:57" x14ac:dyDescent="0.25">
      <c r="B194" s="303"/>
      <c r="C194" s="304"/>
      <c r="D194" s="304"/>
      <c r="E194" s="307"/>
      <c r="F194" s="304"/>
      <c r="G194" s="304"/>
      <c r="H194" s="304"/>
      <c r="I194" s="31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5"/>
    </row>
    <row r="195" spans="2:57" x14ac:dyDescent="0.25">
      <c r="B195" s="303" t="s">
        <v>105</v>
      </c>
      <c r="C195" s="304"/>
      <c r="D195" s="304"/>
      <c r="E195" s="307"/>
      <c r="F195" s="304"/>
      <c r="G195" s="1102">
        <f>'II. Inputs, Baseline Energy Mix'!$Q$37</f>
        <v>0.153</v>
      </c>
      <c r="H195" s="304"/>
      <c r="I195" s="31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c r="BA195" s="304"/>
      <c r="BB195" s="304"/>
      <c r="BC195" s="304"/>
      <c r="BD195" s="304"/>
      <c r="BE195" s="305"/>
    </row>
    <row r="196" spans="2:57" x14ac:dyDescent="0.25">
      <c r="B196" s="303" t="s">
        <v>106</v>
      </c>
      <c r="C196" s="304"/>
      <c r="D196" s="304"/>
      <c r="E196" s="307"/>
      <c r="F196" s="304"/>
      <c r="G196" s="1318">
        <f>IF(G195="NA", "NA", NPV(G195,H193:BE193)+G193)</f>
        <v>0</v>
      </c>
      <c r="H196" s="304"/>
      <c r="I196" s="31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c r="BA196" s="304"/>
      <c r="BB196" s="304"/>
      <c r="BC196" s="304"/>
      <c r="BD196" s="304"/>
      <c r="BE196" s="305"/>
    </row>
    <row r="197" spans="2:57" x14ac:dyDescent="0.25">
      <c r="B197" s="303" t="s">
        <v>107</v>
      </c>
      <c r="C197" s="304"/>
      <c r="D197" s="304"/>
      <c r="E197" s="307"/>
      <c r="F197" s="304"/>
      <c r="G197" s="1318">
        <f>IF(G195="NA", "NA", -NPV(G195,H160:BE160))</f>
        <v>0</v>
      </c>
      <c r="H197" s="304"/>
      <c r="I197" s="31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5"/>
    </row>
    <row r="198" spans="2:57" ht="13.8" thickBot="1" x14ac:dyDescent="0.3">
      <c r="B198" s="303" t="s">
        <v>108</v>
      </c>
      <c r="C198" s="304"/>
      <c r="D198" s="304"/>
      <c r="E198" s="307"/>
      <c r="F198" s="307" t="s">
        <v>625</v>
      </c>
      <c r="G198" s="1319" t="str">
        <f>IF(OR(G197=0,G195="NA"), "NA", G196/G197)</f>
        <v>NA</v>
      </c>
      <c r="H198" s="304"/>
      <c r="I198" s="31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c r="BA198" s="304"/>
      <c r="BB198" s="304"/>
      <c r="BC198" s="304"/>
      <c r="BD198" s="304"/>
      <c r="BE198" s="305"/>
    </row>
    <row r="199" spans="2:57" ht="13.8" thickBot="1" x14ac:dyDescent="0.3">
      <c r="B199" s="317" t="s">
        <v>109</v>
      </c>
      <c r="C199" s="318"/>
      <c r="D199" s="318"/>
      <c r="E199" s="319"/>
      <c r="F199" s="319" t="s">
        <v>626</v>
      </c>
      <c r="G199" s="1320" t="str">
        <f>IF(G198="NA", "NA", $G$198/(1-'II. Inputs, Baseline Energy Mix'!$Q$19))</f>
        <v>NA</v>
      </c>
      <c r="H199" s="304"/>
      <c r="I199" s="31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c r="BA199" s="304"/>
      <c r="BB199" s="304"/>
      <c r="BC199" s="304"/>
      <c r="BD199" s="304"/>
      <c r="BE199" s="305"/>
    </row>
    <row r="200" spans="2:57" ht="13.8" thickBot="1" x14ac:dyDescent="0.3">
      <c r="B200" s="320"/>
      <c r="C200" s="321"/>
      <c r="D200" s="321"/>
      <c r="E200" s="322"/>
      <c r="F200" s="322"/>
      <c r="G200" s="323"/>
      <c r="H200" s="324"/>
      <c r="I200" s="325"/>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6"/>
    </row>
    <row r="201" spans="2:57" x14ac:dyDescent="0.25">
      <c r="B201" s="43"/>
      <c r="C201" s="43"/>
      <c r="D201" s="43"/>
      <c r="E201" s="207"/>
      <c r="F201" s="207"/>
      <c r="G201" s="327"/>
      <c r="I201" s="249"/>
    </row>
    <row r="202" spans="2:57" x14ac:dyDescent="0.25">
      <c r="B202" s="213" t="s">
        <v>58</v>
      </c>
      <c r="C202" s="214"/>
      <c r="D202" s="214"/>
      <c r="E202" s="215"/>
      <c r="F202" s="214"/>
      <c r="G202" s="215">
        <v>0</v>
      </c>
      <c r="H202" s="215">
        <v>1</v>
      </c>
      <c r="I202" s="215">
        <v>2</v>
      </c>
      <c r="J202" s="215">
        <v>3</v>
      </c>
      <c r="K202" s="215">
        <v>4</v>
      </c>
      <c r="L202" s="215">
        <v>5</v>
      </c>
      <c r="M202" s="215">
        <v>6</v>
      </c>
      <c r="N202" s="215">
        <v>7</v>
      </c>
      <c r="O202" s="215">
        <v>8</v>
      </c>
      <c r="P202" s="215">
        <v>9</v>
      </c>
      <c r="Q202" s="215">
        <v>10</v>
      </c>
      <c r="R202" s="215">
        <v>11</v>
      </c>
      <c r="S202" s="215">
        <v>12</v>
      </c>
      <c r="T202" s="215">
        <v>13</v>
      </c>
      <c r="U202" s="215">
        <v>14</v>
      </c>
      <c r="V202" s="215">
        <v>15</v>
      </c>
      <c r="W202" s="215">
        <v>16</v>
      </c>
      <c r="X202" s="215">
        <v>17</v>
      </c>
      <c r="Y202" s="215">
        <v>18</v>
      </c>
      <c r="Z202" s="215">
        <v>19</v>
      </c>
      <c r="AA202" s="215">
        <v>20</v>
      </c>
      <c r="AB202" s="215">
        <v>21</v>
      </c>
      <c r="AC202" s="215">
        <v>22</v>
      </c>
      <c r="AD202" s="215">
        <v>23</v>
      </c>
      <c r="AE202" s="215">
        <v>24</v>
      </c>
      <c r="AF202" s="215">
        <v>25</v>
      </c>
      <c r="AG202" s="215">
        <v>26</v>
      </c>
      <c r="AH202" s="215">
        <v>27</v>
      </c>
      <c r="AI202" s="215">
        <v>28</v>
      </c>
      <c r="AJ202" s="215">
        <v>29</v>
      </c>
      <c r="AK202" s="215">
        <v>30</v>
      </c>
      <c r="AL202" s="215">
        <v>31</v>
      </c>
      <c r="AM202" s="215">
        <v>32</v>
      </c>
      <c r="AN202" s="215">
        <v>33</v>
      </c>
      <c r="AO202" s="215">
        <v>34</v>
      </c>
      <c r="AP202" s="215">
        <v>35</v>
      </c>
      <c r="AQ202" s="215">
        <v>36</v>
      </c>
      <c r="AR202" s="215">
        <v>37</v>
      </c>
      <c r="AS202" s="215">
        <v>38</v>
      </c>
      <c r="AT202" s="215">
        <v>39</v>
      </c>
      <c r="AU202" s="215">
        <v>40</v>
      </c>
      <c r="AV202" s="215">
        <v>41</v>
      </c>
      <c r="AW202" s="215">
        <v>42</v>
      </c>
      <c r="AX202" s="215">
        <v>43</v>
      </c>
      <c r="AY202" s="215">
        <v>44</v>
      </c>
      <c r="AZ202" s="215">
        <v>45</v>
      </c>
      <c r="BA202" s="215">
        <v>46</v>
      </c>
      <c r="BB202" s="215">
        <v>47</v>
      </c>
      <c r="BC202" s="215">
        <v>48</v>
      </c>
      <c r="BD202" s="215">
        <v>49</v>
      </c>
      <c r="BE202" s="215">
        <v>50</v>
      </c>
    </row>
    <row r="203" spans="2:57" ht="13.8" thickBot="1" x14ac:dyDescent="0.3">
      <c r="B203" s="1061"/>
      <c r="C203" s="43"/>
      <c r="D203" s="43"/>
      <c r="E203" s="207"/>
      <c r="F203" s="43"/>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row>
    <row r="204" spans="2:57" s="36" customFormat="1" x14ac:dyDescent="0.25">
      <c r="B204" s="328" t="s">
        <v>166</v>
      </c>
      <c r="C204" s="329"/>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c r="AQ204" s="329"/>
      <c r="AR204" s="329"/>
      <c r="AS204" s="329"/>
      <c r="AT204" s="329"/>
      <c r="AU204" s="329"/>
      <c r="AV204" s="329"/>
      <c r="AW204" s="329"/>
      <c r="AX204" s="329"/>
      <c r="AY204" s="329"/>
      <c r="AZ204" s="329"/>
      <c r="BA204" s="329"/>
      <c r="BB204" s="329"/>
      <c r="BC204" s="329"/>
      <c r="BD204" s="329"/>
      <c r="BE204" s="330"/>
    </row>
    <row r="205" spans="2:57" x14ac:dyDescent="0.25">
      <c r="B205" s="331"/>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3"/>
    </row>
    <row r="206" spans="2:57" x14ac:dyDescent="0.25">
      <c r="B206" s="331" t="s">
        <v>136</v>
      </c>
      <c r="C206" s="332"/>
      <c r="D206" s="332"/>
      <c r="E206" s="332"/>
      <c r="F206" s="332"/>
      <c r="G206" s="332"/>
      <c r="H206" s="334">
        <f>IF(H$13&gt;'II. Inputs, Baseline Energy Mix'!$R$18,0,1)</f>
        <v>1</v>
      </c>
      <c r="I206" s="332">
        <f>IF(I$13&gt;'II. Inputs, Baseline Energy Mix'!$R$18,0,1)</f>
        <v>1</v>
      </c>
      <c r="J206" s="332">
        <f>IF(J$13&gt;'II. Inputs, Baseline Energy Mix'!$R$18,0,1)</f>
        <v>1</v>
      </c>
      <c r="K206" s="332">
        <f>IF(K$13&gt;'II. Inputs, Baseline Energy Mix'!$R$18,0,1)</f>
        <v>1</v>
      </c>
      <c r="L206" s="332">
        <f>IF(L$13&gt;'II. Inputs, Baseline Energy Mix'!$R$18,0,1)</f>
        <v>1</v>
      </c>
      <c r="M206" s="332">
        <f>IF(M$13&gt;'II. Inputs, Baseline Energy Mix'!$R$18,0,1)</f>
        <v>1</v>
      </c>
      <c r="N206" s="332">
        <f>IF(N$13&gt;'II. Inputs, Baseline Energy Mix'!$R$18,0,1)</f>
        <v>1</v>
      </c>
      <c r="O206" s="332">
        <f>IF(O$13&gt;'II. Inputs, Baseline Energy Mix'!$R$18,0,1)</f>
        <v>1</v>
      </c>
      <c r="P206" s="332">
        <f>IF(P$13&gt;'II. Inputs, Baseline Energy Mix'!$R$18,0,1)</f>
        <v>1</v>
      </c>
      <c r="Q206" s="332">
        <f>IF(Q$13&gt;'II. Inputs, Baseline Energy Mix'!$R$18,0,1)</f>
        <v>1</v>
      </c>
      <c r="R206" s="332">
        <f>IF(R$13&gt;'II. Inputs, Baseline Energy Mix'!$R$18,0,1)</f>
        <v>1</v>
      </c>
      <c r="S206" s="332">
        <f>IF(S$13&gt;'II. Inputs, Baseline Energy Mix'!$R$18,0,1)</f>
        <v>1</v>
      </c>
      <c r="T206" s="332">
        <f>IF(T$13&gt;'II. Inputs, Baseline Energy Mix'!$R$18,0,1)</f>
        <v>1</v>
      </c>
      <c r="U206" s="332">
        <f>IF(U$13&gt;'II. Inputs, Baseline Energy Mix'!$R$18,0,1)</f>
        <v>1</v>
      </c>
      <c r="V206" s="332">
        <f>IF(V$13&gt;'II. Inputs, Baseline Energy Mix'!$R$18,0,1)</f>
        <v>1</v>
      </c>
      <c r="W206" s="332">
        <f>IF(W$13&gt;'II. Inputs, Baseline Energy Mix'!$R$18,0,1)</f>
        <v>1</v>
      </c>
      <c r="X206" s="332">
        <f>IF(X$13&gt;'II. Inputs, Baseline Energy Mix'!$R$18,0,1)</f>
        <v>1</v>
      </c>
      <c r="Y206" s="332">
        <f>IF(Y$13&gt;'II. Inputs, Baseline Energy Mix'!$R$18,0,1)</f>
        <v>1</v>
      </c>
      <c r="Z206" s="332">
        <f>IF(Z$13&gt;'II. Inputs, Baseline Energy Mix'!$R$18,0,1)</f>
        <v>1</v>
      </c>
      <c r="AA206" s="332">
        <f>IF(AA$13&gt;'II. Inputs, Baseline Energy Mix'!$R$18,0,1)</f>
        <v>1</v>
      </c>
      <c r="AB206" s="332">
        <f>IF(AB$13&gt;'II. Inputs, Baseline Energy Mix'!$R$18,0,1)</f>
        <v>1</v>
      </c>
      <c r="AC206" s="332">
        <f>IF(AC$13&gt;'II. Inputs, Baseline Energy Mix'!$R$18,0,1)</f>
        <v>1</v>
      </c>
      <c r="AD206" s="332">
        <f>IF(AD$13&gt;'II. Inputs, Baseline Energy Mix'!$R$18,0,1)</f>
        <v>1</v>
      </c>
      <c r="AE206" s="332">
        <f>IF(AE$13&gt;'II. Inputs, Baseline Energy Mix'!$R$18,0,1)</f>
        <v>1</v>
      </c>
      <c r="AF206" s="332">
        <f>IF(AF$13&gt;'II. Inputs, Baseline Energy Mix'!$R$18,0,1)</f>
        <v>1</v>
      </c>
      <c r="AG206" s="332">
        <f>IF(AG$13&gt;'II. Inputs, Baseline Energy Mix'!$R$18,0,1)</f>
        <v>1</v>
      </c>
      <c r="AH206" s="332">
        <f>IF(AH$13&gt;'II. Inputs, Baseline Energy Mix'!$R$18,0,1)</f>
        <v>1</v>
      </c>
      <c r="AI206" s="332">
        <f>IF(AI$13&gt;'II. Inputs, Baseline Energy Mix'!$R$18,0,1)</f>
        <v>1</v>
      </c>
      <c r="AJ206" s="332">
        <f>IF(AJ$13&gt;'II. Inputs, Baseline Energy Mix'!$R$18,0,1)</f>
        <v>1</v>
      </c>
      <c r="AK206" s="332">
        <f>IF(AK$13&gt;'II. Inputs, Baseline Energy Mix'!$R$18,0,1)</f>
        <v>1</v>
      </c>
      <c r="AL206" s="332">
        <f>IF(AL$13&gt;'II. Inputs, Baseline Energy Mix'!$R$18,0,1)</f>
        <v>0</v>
      </c>
      <c r="AM206" s="332">
        <f>IF(AM$13&gt;'II. Inputs, Baseline Energy Mix'!$R$18,0,1)</f>
        <v>0</v>
      </c>
      <c r="AN206" s="332">
        <f>IF(AN$13&gt;'II. Inputs, Baseline Energy Mix'!$R$18,0,1)</f>
        <v>0</v>
      </c>
      <c r="AO206" s="332">
        <f>IF(AO$13&gt;'II. Inputs, Baseline Energy Mix'!$R$18,0,1)</f>
        <v>0</v>
      </c>
      <c r="AP206" s="332">
        <f>IF(AP$13&gt;'II. Inputs, Baseline Energy Mix'!$R$18,0,1)</f>
        <v>0</v>
      </c>
      <c r="AQ206" s="332">
        <f>IF(AQ$13&gt;'II. Inputs, Baseline Energy Mix'!$R$18,0,1)</f>
        <v>0</v>
      </c>
      <c r="AR206" s="332">
        <f>IF(AR$13&gt;'II. Inputs, Baseline Energy Mix'!$R$18,0,1)</f>
        <v>0</v>
      </c>
      <c r="AS206" s="332">
        <f>IF(AS$13&gt;'II. Inputs, Baseline Energy Mix'!$R$18,0,1)</f>
        <v>0</v>
      </c>
      <c r="AT206" s="332">
        <f>IF(AT$13&gt;'II. Inputs, Baseline Energy Mix'!$R$18,0,1)</f>
        <v>0</v>
      </c>
      <c r="AU206" s="332">
        <f>IF(AU$13&gt;'II. Inputs, Baseline Energy Mix'!$R$18,0,1)</f>
        <v>0</v>
      </c>
      <c r="AV206" s="332">
        <f>IF(AV$13&gt;'II. Inputs, Baseline Energy Mix'!$R$18,0,1)</f>
        <v>0</v>
      </c>
      <c r="AW206" s="332">
        <f>IF(AW$13&gt;'II. Inputs, Baseline Energy Mix'!$R$18,0,1)</f>
        <v>0</v>
      </c>
      <c r="AX206" s="332">
        <f>IF(AX$13&gt;'II. Inputs, Baseline Energy Mix'!$R$18,0,1)</f>
        <v>0</v>
      </c>
      <c r="AY206" s="332">
        <f>IF(AY$13&gt;'II. Inputs, Baseline Energy Mix'!$R$18,0,1)</f>
        <v>0</v>
      </c>
      <c r="AZ206" s="332">
        <f>IF(AZ$13&gt;'II. Inputs, Baseline Energy Mix'!$R$18,0,1)</f>
        <v>0</v>
      </c>
      <c r="BA206" s="332">
        <f>IF(BA$13&gt;'II. Inputs, Baseline Energy Mix'!$R$18,0,1)</f>
        <v>0</v>
      </c>
      <c r="BB206" s="332">
        <f>IF(BB$13&gt;'II. Inputs, Baseline Energy Mix'!$R$18,0,1)</f>
        <v>0</v>
      </c>
      <c r="BC206" s="332">
        <f>IF(BC$13&gt;'II. Inputs, Baseline Energy Mix'!$R$18,0,1)</f>
        <v>0</v>
      </c>
      <c r="BD206" s="332">
        <f>IF(BD$13&gt;'II. Inputs, Baseline Energy Mix'!$R$18,0,1)</f>
        <v>0</v>
      </c>
      <c r="BE206" s="333">
        <f>IF(BE$13&gt;'II. Inputs, Baseline Energy Mix'!$R$18,0,1)</f>
        <v>0</v>
      </c>
    </row>
    <row r="207" spans="2:57" x14ac:dyDescent="0.25">
      <c r="B207" s="331"/>
      <c r="C207" s="332"/>
      <c r="D207" s="332"/>
      <c r="E207" s="332"/>
      <c r="F207" s="332"/>
      <c r="G207" s="332"/>
      <c r="H207" s="334"/>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3"/>
    </row>
    <row r="208" spans="2:57" x14ac:dyDescent="0.25">
      <c r="B208" s="331" t="s">
        <v>97</v>
      </c>
      <c r="C208" s="332"/>
      <c r="D208" s="332"/>
      <c r="E208" s="332"/>
      <c r="F208" s="335" t="s">
        <v>98</v>
      </c>
      <c r="G208" s="332"/>
      <c r="H208" s="336">
        <f>IF('II. Inputs, Baseline Energy Mix'!$R$15=0,0,'II. Inputs, Baseline Energy Mix'!$R$92*'II. Inputs, Baseline Energy Mix'!$R$16*H206)</f>
        <v>0</v>
      </c>
      <c r="I208" s="336">
        <f>IF('II. Inputs, Baseline Energy Mix'!$R$15=0,0,'II. Inputs, Baseline Energy Mix'!$R$92*'II. Inputs, Baseline Energy Mix'!$R$16*I206)</f>
        <v>0</v>
      </c>
      <c r="J208" s="336">
        <f>IF('II. Inputs, Baseline Energy Mix'!$R$15=0,0,'II. Inputs, Baseline Energy Mix'!$R$92*'II. Inputs, Baseline Energy Mix'!$R$16*J206)</f>
        <v>0</v>
      </c>
      <c r="K208" s="336">
        <f>IF('II. Inputs, Baseline Energy Mix'!$R$15=0,0,'II. Inputs, Baseline Energy Mix'!$R$92*'II. Inputs, Baseline Energy Mix'!$R$16*K206)</f>
        <v>0</v>
      </c>
      <c r="L208" s="336">
        <f>IF('II. Inputs, Baseline Energy Mix'!$R$15=0,0,'II. Inputs, Baseline Energy Mix'!$R$92*'II. Inputs, Baseline Energy Mix'!$R$16*L206)</f>
        <v>0</v>
      </c>
      <c r="M208" s="336">
        <f>IF('II. Inputs, Baseline Energy Mix'!$R$15=0,0,'II. Inputs, Baseline Energy Mix'!$R$92*'II. Inputs, Baseline Energy Mix'!$R$16*M206)</f>
        <v>0</v>
      </c>
      <c r="N208" s="336">
        <f>IF('II. Inputs, Baseline Energy Mix'!$R$15=0,0,'II. Inputs, Baseline Energy Mix'!$R$92*'II. Inputs, Baseline Energy Mix'!$R$16*N206)</f>
        <v>0</v>
      </c>
      <c r="O208" s="336">
        <f>IF('II. Inputs, Baseline Energy Mix'!$R$15=0,0,'II. Inputs, Baseline Energy Mix'!$R$92*'II. Inputs, Baseline Energy Mix'!$R$16*O206)</f>
        <v>0</v>
      </c>
      <c r="P208" s="336">
        <f>IF('II. Inputs, Baseline Energy Mix'!$R$15=0,0,'II. Inputs, Baseline Energy Mix'!$R$92*'II. Inputs, Baseline Energy Mix'!$R$16*P206)</f>
        <v>0</v>
      </c>
      <c r="Q208" s="336">
        <f>IF('II. Inputs, Baseline Energy Mix'!$R$15=0,0,'II. Inputs, Baseline Energy Mix'!$R$92*'II. Inputs, Baseline Energy Mix'!$R$16*Q206)</f>
        <v>0</v>
      </c>
      <c r="R208" s="336">
        <f>IF('II. Inputs, Baseline Energy Mix'!$R$15=0,0,'II. Inputs, Baseline Energy Mix'!$R$92*'II. Inputs, Baseline Energy Mix'!$R$16*R206)</f>
        <v>0</v>
      </c>
      <c r="S208" s="336">
        <f>IF('II. Inputs, Baseline Energy Mix'!$R$15=0,0,'II. Inputs, Baseline Energy Mix'!$R$92*'II. Inputs, Baseline Energy Mix'!$R$16*S206)</f>
        <v>0</v>
      </c>
      <c r="T208" s="336">
        <f>IF('II. Inputs, Baseline Energy Mix'!$R$15=0,0,'II. Inputs, Baseline Energy Mix'!$R$92*'II. Inputs, Baseline Energy Mix'!$R$16*T206)</f>
        <v>0</v>
      </c>
      <c r="U208" s="336">
        <f>IF('II. Inputs, Baseline Energy Mix'!$R$15=0,0,'II. Inputs, Baseline Energy Mix'!$R$92*'II. Inputs, Baseline Energy Mix'!$R$16*U206)</f>
        <v>0</v>
      </c>
      <c r="V208" s="336">
        <f>IF('II. Inputs, Baseline Energy Mix'!$R$15=0,0,'II. Inputs, Baseline Energy Mix'!$R$92*'II. Inputs, Baseline Energy Mix'!$R$16*V206)</f>
        <v>0</v>
      </c>
      <c r="W208" s="336">
        <f>IF('II. Inputs, Baseline Energy Mix'!$R$15=0,0,'II. Inputs, Baseline Energy Mix'!$R$92*'II. Inputs, Baseline Energy Mix'!$R$16*W206)</f>
        <v>0</v>
      </c>
      <c r="X208" s="336">
        <f>IF('II. Inputs, Baseline Energy Mix'!$R$15=0,0,'II. Inputs, Baseline Energy Mix'!$R$92*'II. Inputs, Baseline Energy Mix'!$R$16*X206)</f>
        <v>0</v>
      </c>
      <c r="Y208" s="336">
        <f>IF('II. Inputs, Baseline Energy Mix'!$R$15=0,0,'II. Inputs, Baseline Energy Mix'!$R$92*'II. Inputs, Baseline Energy Mix'!$R$16*Y206)</f>
        <v>0</v>
      </c>
      <c r="Z208" s="336">
        <f>IF('II. Inputs, Baseline Energy Mix'!$R$15=0,0,'II. Inputs, Baseline Energy Mix'!$R$92*'II. Inputs, Baseline Energy Mix'!$R$16*Z206)</f>
        <v>0</v>
      </c>
      <c r="AA208" s="336">
        <f>IF('II. Inputs, Baseline Energy Mix'!$R$15=0,0,'II. Inputs, Baseline Energy Mix'!$R$92*'II. Inputs, Baseline Energy Mix'!$R$16*AA206)</f>
        <v>0</v>
      </c>
      <c r="AB208" s="336">
        <f>IF('II. Inputs, Baseline Energy Mix'!$R$15=0,0,'II. Inputs, Baseline Energy Mix'!$R$92*'II. Inputs, Baseline Energy Mix'!$R$16*AB206)</f>
        <v>0</v>
      </c>
      <c r="AC208" s="336">
        <f>IF('II. Inputs, Baseline Energy Mix'!$R$15=0,0,'II. Inputs, Baseline Energy Mix'!$R$92*'II. Inputs, Baseline Energy Mix'!$R$16*AC206)</f>
        <v>0</v>
      </c>
      <c r="AD208" s="336">
        <f>IF('II. Inputs, Baseline Energy Mix'!$R$15=0,0,'II. Inputs, Baseline Energy Mix'!$R$92*'II. Inputs, Baseline Energy Mix'!$R$16*AD206)</f>
        <v>0</v>
      </c>
      <c r="AE208" s="336">
        <f>IF('II. Inputs, Baseline Energy Mix'!$R$15=0,0,'II. Inputs, Baseline Energy Mix'!$R$92*'II. Inputs, Baseline Energy Mix'!$R$16*AE206)</f>
        <v>0</v>
      </c>
      <c r="AF208" s="336">
        <f>IF('II. Inputs, Baseline Energy Mix'!$R$15=0,0,'II. Inputs, Baseline Energy Mix'!$R$92*'II. Inputs, Baseline Energy Mix'!$R$16*AF206)</f>
        <v>0</v>
      </c>
      <c r="AG208" s="336">
        <f>IF('II. Inputs, Baseline Energy Mix'!$R$15=0,0,'II. Inputs, Baseline Energy Mix'!$R$92*'II. Inputs, Baseline Energy Mix'!$R$16*AG206)</f>
        <v>0</v>
      </c>
      <c r="AH208" s="336">
        <f>IF('II. Inputs, Baseline Energy Mix'!$R$15=0,0,'II. Inputs, Baseline Energy Mix'!$R$92*'II. Inputs, Baseline Energy Mix'!$R$16*AH206)</f>
        <v>0</v>
      </c>
      <c r="AI208" s="336">
        <f>IF('II. Inputs, Baseline Energy Mix'!$R$15=0,0,'II. Inputs, Baseline Energy Mix'!$R$92*'II. Inputs, Baseline Energy Mix'!$R$16*AI206)</f>
        <v>0</v>
      </c>
      <c r="AJ208" s="336">
        <f>IF('II. Inputs, Baseline Energy Mix'!$R$15=0,0,'II. Inputs, Baseline Energy Mix'!$R$92*'II. Inputs, Baseline Energy Mix'!$R$16*AJ206)</f>
        <v>0</v>
      </c>
      <c r="AK208" s="336">
        <f>IF('II. Inputs, Baseline Energy Mix'!$R$15=0,0,'II. Inputs, Baseline Energy Mix'!$R$92*'II. Inputs, Baseline Energy Mix'!$R$16*AK206)</f>
        <v>0</v>
      </c>
      <c r="AL208" s="336">
        <f>IF('II. Inputs, Baseline Energy Mix'!$R$15=0,0,'II. Inputs, Baseline Energy Mix'!$R$92*'II. Inputs, Baseline Energy Mix'!$R$16*AL206)</f>
        <v>0</v>
      </c>
      <c r="AM208" s="336">
        <f>IF('II. Inputs, Baseline Energy Mix'!$R$15=0,0,'II. Inputs, Baseline Energy Mix'!$R$92*'II. Inputs, Baseline Energy Mix'!$R$16*AM206)</f>
        <v>0</v>
      </c>
      <c r="AN208" s="336">
        <f>IF('II. Inputs, Baseline Energy Mix'!$R$15=0,0,'II. Inputs, Baseline Energy Mix'!$R$92*'II. Inputs, Baseline Energy Mix'!$R$16*AN206)</f>
        <v>0</v>
      </c>
      <c r="AO208" s="336">
        <f>IF('II. Inputs, Baseline Energy Mix'!$R$15=0,0,'II. Inputs, Baseline Energy Mix'!$R$92*'II. Inputs, Baseline Energy Mix'!$R$16*AO206)</f>
        <v>0</v>
      </c>
      <c r="AP208" s="336">
        <f>IF('II. Inputs, Baseline Energy Mix'!$R$15=0,0,'II. Inputs, Baseline Energy Mix'!$R$92*'II. Inputs, Baseline Energy Mix'!$R$16*AP206)</f>
        <v>0</v>
      </c>
      <c r="AQ208" s="336">
        <f>IF('II. Inputs, Baseline Energy Mix'!$R$15=0,0,'II. Inputs, Baseline Energy Mix'!$R$92*'II. Inputs, Baseline Energy Mix'!$R$16*AQ206)</f>
        <v>0</v>
      </c>
      <c r="AR208" s="336">
        <f>IF('II. Inputs, Baseline Energy Mix'!$R$15=0,0,'II. Inputs, Baseline Energy Mix'!$R$92*'II. Inputs, Baseline Energy Mix'!$R$16*AR206)</f>
        <v>0</v>
      </c>
      <c r="AS208" s="336">
        <f>IF('II. Inputs, Baseline Energy Mix'!$R$15=0,0,'II. Inputs, Baseline Energy Mix'!$R$92*'II. Inputs, Baseline Energy Mix'!$R$16*AS206)</f>
        <v>0</v>
      </c>
      <c r="AT208" s="336">
        <f>IF('II. Inputs, Baseline Energy Mix'!$R$15=0,0,'II. Inputs, Baseline Energy Mix'!$R$92*'II. Inputs, Baseline Energy Mix'!$R$16*AT206)</f>
        <v>0</v>
      </c>
      <c r="AU208" s="336">
        <f>IF('II. Inputs, Baseline Energy Mix'!$R$15=0,0,'II. Inputs, Baseline Energy Mix'!$R$92*'II. Inputs, Baseline Energy Mix'!$R$16*AU206)</f>
        <v>0</v>
      </c>
      <c r="AV208" s="336">
        <f>IF('II. Inputs, Baseline Energy Mix'!$R$15=0,0,'II. Inputs, Baseline Energy Mix'!$R$92*'II. Inputs, Baseline Energy Mix'!$R$16*AV206)</f>
        <v>0</v>
      </c>
      <c r="AW208" s="336">
        <f>IF('II. Inputs, Baseline Energy Mix'!$R$15=0,0,'II. Inputs, Baseline Energy Mix'!$R$92*'II. Inputs, Baseline Energy Mix'!$R$16*AW206)</f>
        <v>0</v>
      </c>
      <c r="AX208" s="336">
        <f>IF('II. Inputs, Baseline Energy Mix'!$R$15=0,0,'II. Inputs, Baseline Energy Mix'!$R$92*'II. Inputs, Baseline Energy Mix'!$R$16*AX206)</f>
        <v>0</v>
      </c>
      <c r="AY208" s="336">
        <f>IF('II. Inputs, Baseline Energy Mix'!$R$15=0,0,'II. Inputs, Baseline Energy Mix'!$R$92*'II. Inputs, Baseline Energy Mix'!$R$16*AY206)</f>
        <v>0</v>
      </c>
      <c r="AZ208" s="336">
        <f>IF('II. Inputs, Baseline Energy Mix'!$R$15=0,0,'II. Inputs, Baseline Energy Mix'!$R$92*'II. Inputs, Baseline Energy Mix'!$R$16*AZ206)</f>
        <v>0</v>
      </c>
      <c r="BA208" s="336">
        <f>IF('II. Inputs, Baseline Energy Mix'!$R$15=0,0,'II. Inputs, Baseline Energy Mix'!$R$92*'II. Inputs, Baseline Energy Mix'!$R$16*BA206)</f>
        <v>0</v>
      </c>
      <c r="BB208" s="336">
        <f>IF('II. Inputs, Baseline Energy Mix'!$R$15=0,0,'II. Inputs, Baseline Energy Mix'!$R$92*'II. Inputs, Baseline Energy Mix'!$R$16*BB206)</f>
        <v>0</v>
      </c>
      <c r="BC208" s="336">
        <f>IF('II. Inputs, Baseline Energy Mix'!$R$15=0,0,'II. Inputs, Baseline Energy Mix'!$R$92*'II. Inputs, Baseline Energy Mix'!$R$16*BC206)</f>
        <v>0</v>
      </c>
      <c r="BD208" s="336">
        <f>IF('II. Inputs, Baseline Energy Mix'!$R$15=0,0,'II. Inputs, Baseline Energy Mix'!$R$92*'II. Inputs, Baseline Energy Mix'!$R$16*BD206)</f>
        <v>0</v>
      </c>
      <c r="BE208" s="337">
        <f>IF('II. Inputs, Baseline Energy Mix'!$R$15=0,0,'II. Inputs, Baseline Energy Mix'!$R$92*'II. Inputs, Baseline Energy Mix'!$R$16*BE206)</f>
        <v>0</v>
      </c>
    </row>
    <row r="209" spans="2:57" x14ac:dyDescent="0.25">
      <c r="B209" s="331"/>
      <c r="C209" s="332"/>
      <c r="D209" s="332"/>
      <c r="E209" s="335"/>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32"/>
      <c r="AX209" s="332"/>
      <c r="AY209" s="332"/>
      <c r="AZ209" s="332"/>
      <c r="BA209" s="332"/>
      <c r="BB209" s="332"/>
      <c r="BC209" s="332"/>
      <c r="BD209" s="332"/>
      <c r="BE209" s="333"/>
    </row>
    <row r="210" spans="2:57" x14ac:dyDescent="0.25">
      <c r="B210" s="338" t="s">
        <v>99</v>
      </c>
      <c r="C210" s="339"/>
      <c r="D210" s="339"/>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c r="BA210" s="340"/>
      <c r="BB210" s="340"/>
      <c r="BC210" s="340"/>
      <c r="BD210" s="340"/>
      <c r="BE210" s="341"/>
    </row>
    <row r="211" spans="2:57" x14ac:dyDescent="0.25">
      <c r="B211" s="331"/>
      <c r="C211" s="332"/>
      <c r="D211" s="332"/>
      <c r="E211" s="335"/>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2"/>
      <c r="BC211" s="332"/>
      <c r="BD211" s="332"/>
      <c r="BE211" s="333"/>
    </row>
    <row r="212" spans="2:57" x14ac:dyDescent="0.25">
      <c r="B212" s="331" t="s">
        <v>137</v>
      </c>
      <c r="C212" s="332"/>
      <c r="D212" s="332"/>
      <c r="E212" s="335"/>
      <c r="F212" s="335" t="s">
        <v>22</v>
      </c>
      <c r="G212" s="332"/>
      <c r="H212" s="1323">
        <f>IF('II. Inputs, Baseline Energy Mix'!$R$15=0,0,H206*'II. Inputs, Baseline Energy Mix'!$R$105*(1+'II. Inputs, Baseline Energy Mix'!$R$106)^('IV. LCOE, Baseline Energy Mix'!H$13-1))</f>
        <v>0</v>
      </c>
      <c r="I212" s="1323">
        <f>IF('II. Inputs, Baseline Energy Mix'!$R$15=0,0,I206*'II. Inputs, Baseline Energy Mix'!$R$105*(1+'II. Inputs, Baseline Energy Mix'!$R$106)^('IV. LCOE, Baseline Energy Mix'!I$13-1))</f>
        <v>0</v>
      </c>
      <c r="J212" s="1323">
        <f>IF('II. Inputs, Baseline Energy Mix'!$R$15=0,0,J206*'II. Inputs, Baseline Energy Mix'!$R$105*(1+'II. Inputs, Baseline Energy Mix'!$R$106)^('IV. LCOE, Baseline Energy Mix'!J$13-1))</f>
        <v>0</v>
      </c>
      <c r="K212" s="1323">
        <f>IF('II. Inputs, Baseline Energy Mix'!$R$15=0,0,K206*'II. Inputs, Baseline Energy Mix'!$R$105*(1+'II. Inputs, Baseline Energy Mix'!$R$106)^('IV. LCOE, Baseline Energy Mix'!K$13-1))</f>
        <v>0</v>
      </c>
      <c r="L212" s="1323">
        <f>IF('II. Inputs, Baseline Energy Mix'!$R$15=0,0,L206*'II. Inputs, Baseline Energy Mix'!$R$105*(1+'II. Inputs, Baseline Energy Mix'!$R$106)^('IV. LCOE, Baseline Energy Mix'!L$13-1))</f>
        <v>0</v>
      </c>
      <c r="M212" s="1323">
        <f>IF('II. Inputs, Baseline Energy Mix'!$R$15=0,0,M206*'II. Inputs, Baseline Energy Mix'!$R$105*(1+'II. Inputs, Baseline Energy Mix'!$R$106)^('IV. LCOE, Baseline Energy Mix'!M$13-1))</f>
        <v>0</v>
      </c>
      <c r="N212" s="1323">
        <f>IF('II. Inputs, Baseline Energy Mix'!$R$15=0,0,N206*'II. Inputs, Baseline Energy Mix'!$R$105*(1+'II. Inputs, Baseline Energy Mix'!$R$106)^('IV. LCOE, Baseline Energy Mix'!N$13-1))</f>
        <v>0</v>
      </c>
      <c r="O212" s="1323">
        <f>IF('II. Inputs, Baseline Energy Mix'!$R$15=0,0,O206*'II. Inputs, Baseline Energy Mix'!$R$105*(1+'II. Inputs, Baseline Energy Mix'!$R$106)^('IV. LCOE, Baseline Energy Mix'!O$13-1))</f>
        <v>0</v>
      </c>
      <c r="P212" s="1323">
        <f>IF('II. Inputs, Baseline Energy Mix'!$R$15=0,0,P206*'II. Inputs, Baseline Energy Mix'!$R$105*(1+'II. Inputs, Baseline Energy Mix'!$R$106)^('IV. LCOE, Baseline Energy Mix'!P$13-1))</f>
        <v>0</v>
      </c>
      <c r="Q212" s="1323">
        <f>IF('II. Inputs, Baseline Energy Mix'!$R$15=0,0,Q206*'II. Inputs, Baseline Energy Mix'!$R$105*(1+'II. Inputs, Baseline Energy Mix'!$R$106)^('IV. LCOE, Baseline Energy Mix'!Q$13-1))</f>
        <v>0</v>
      </c>
      <c r="R212" s="1323">
        <f>IF('II. Inputs, Baseline Energy Mix'!$R$15=0,0,R206*'II. Inputs, Baseline Energy Mix'!$R$105*(1+'II. Inputs, Baseline Energy Mix'!$R$106)^('IV. LCOE, Baseline Energy Mix'!R$13-1))</f>
        <v>0</v>
      </c>
      <c r="S212" s="1323">
        <f>IF('II. Inputs, Baseline Energy Mix'!$R$15=0,0,S206*'II. Inputs, Baseline Energy Mix'!$R$105*(1+'II. Inputs, Baseline Energy Mix'!$R$106)^('IV. LCOE, Baseline Energy Mix'!S$13-1))</f>
        <v>0</v>
      </c>
      <c r="T212" s="1323">
        <f>IF('II. Inputs, Baseline Energy Mix'!$R$15=0,0,T206*'II. Inputs, Baseline Energy Mix'!$R$105*(1+'II. Inputs, Baseline Energy Mix'!$R$106)^('IV. LCOE, Baseline Energy Mix'!T$13-1))</f>
        <v>0</v>
      </c>
      <c r="U212" s="1323">
        <f>IF('II. Inputs, Baseline Energy Mix'!$R$15=0,0,U206*'II. Inputs, Baseline Energy Mix'!$R$105*(1+'II. Inputs, Baseline Energy Mix'!$R$106)^('IV. LCOE, Baseline Energy Mix'!U$13-1))</f>
        <v>0</v>
      </c>
      <c r="V212" s="1323">
        <f>IF('II. Inputs, Baseline Energy Mix'!$R$15=0,0,V206*'II. Inputs, Baseline Energy Mix'!$R$105*(1+'II. Inputs, Baseline Energy Mix'!$R$106)^('IV. LCOE, Baseline Energy Mix'!V$13-1))</f>
        <v>0</v>
      </c>
      <c r="W212" s="1323">
        <f>IF('II. Inputs, Baseline Energy Mix'!$R$15=0,0,W206*'II. Inputs, Baseline Energy Mix'!$R$105*(1+'II. Inputs, Baseline Energy Mix'!$R$106)^('IV. LCOE, Baseline Energy Mix'!W$13-1))</f>
        <v>0</v>
      </c>
      <c r="X212" s="1323">
        <f>IF('II. Inputs, Baseline Energy Mix'!$R$15=0,0,X206*'II. Inputs, Baseline Energy Mix'!$R$105*(1+'II. Inputs, Baseline Energy Mix'!$R$106)^('IV. LCOE, Baseline Energy Mix'!X$13-1))</f>
        <v>0</v>
      </c>
      <c r="Y212" s="1323">
        <f>IF('II. Inputs, Baseline Energy Mix'!$R$15=0,0,Y206*'II. Inputs, Baseline Energy Mix'!$R$105*(1+'II. Inputs, Baseline Energy Mix'!$R$106)^('IV. LCOE, Baseline Energy Mix'!Y$13-1))</f>
        <v>0</v>
      </c>
      <c r="Z212" s="1323">
        <f>IF('II. Inputs, Baseline Energy Mix'!$R$15=0,0,Z206*'II. Inputs, Baseline Energy Mix'!$R$105*(1+'II. Inputs, Baseline Energy Mix'!$R$106)^('IV. LCOE, Baseline Energy Mix'!Z$13-1))</f>
        <v>0</v>
      </c>
      <c r="AA212" s="1323">
        <f>IF('II. Inputs, Baseline Energy Mix'!$R$15=0,0,AA206*'II. Inputs, Baseline Energy Mix'!$R$105*(1+'II. Inputs, Baseline Energy Mix'!$R$106)^('IV. LCOE, Baseline Energy Mix'!AA$13-1))</f>
        <v>0</v>
      </c>
      <c r="AB212" s="1323">
        <f>IF('II. Inputs, Baseline Energy Mix'!$R$15=0,0,AB206*'II. Inputs, Baseline Energy Mix'!$R$105*(1+'II. Inputs, Baseline Energy Mix'!$R$106)^('IV. LCOE, Baseline Energy Mix'!AB$13-1))</f>
        <v>0</v>
      </c>
      <c r="AC212" s="1323">
        <f>IF('II. Inputs, Baseline Energy Mix'!$R$15=0,0,AC206*'II. Inputs, Baseline Energy Mix'!$R$105*(1+'II. Inputs, Baseline Energy Mix'!$R$106)^('IV. LCOE, Baseline Energy Mix'!AC$13-1))</f>
        <v>0</v>
      </c>
      <c r="AD212" s="1323">
        <f>IF('II. Inputs, Baseline Energy Mix'!$R$15=0,0,AD206*'II. Inputs, Baseline Energy Mix'!$R$105*(1+'II. Inputs, Baseline Energy Mix'!$R$106)^('IV. LCOE, Baseline Energy Mix'!AD$13-1))</f>
        <v>0</v>
      </c>
      <c r="AE212" s="1323">
        <f>IF('II. Inputs, Baseline Energy Mix'!$R$15=0,0,AE206*'II. Inputs, Baseline Energy Mix'!$R$105*(1+'II. Inputs, Baseline Energy Mix'!$R$106)^('IV. LCOE, Baseline Energy Mix'!AE$13-1))</f>
        <v>0</v>
      </c>
      <c r="AF212" s="1323">
        <f>IF('II. Inputs, Baseline Energy Mix'!$R$15=0,0,AF206*'II. Inputs, Baseline Energy Mix'!$R$105*(1+'II. Inputs, Baseline Energy Mix'!$R$106)^('IV. LCOE, Baseline Energy Mix'!AF$13-1))</f>
        <v>0</v>
      </c>
      <c r="AG212" s="1323">
        <f>IF('II. Inputs, Baseline Energy Mix'!$R$15=0,0,AG206*'II. Inputs, Baseline Energy Mix'!$R$105*(1+'II. Inputs, Baseline Energy Mix'!$R$106)^('IV. LCOE, Baseline Energy Mix'!AG$13-1))</f>
        <v>0</v>
      </c>
      <c r="AH212" s="1323">
        <f>IF('II. Inputs, Baseline Energy Mix'!$R$15=0,0,AH206*'II. Inputs, Baseline Energy Mix'!$R$105*(1+'II. Inputs, Baseline Energy Mix'!$R$106)^('IV. LCOE, Baseline Energy Mix'!AH$13-1))</f>
        <v>0</v>
      </c>
      <c r="AI212" s="1323">
        <f>IF('II. Inputs, Baseline Energy Mix'!$R$15=0,0,AI206*'II. Inputs, Baseline Energy Mix'!$R$105*(1+'II. Inputs, Baseline Energy Mix'!$R$106)^('IV. LCOE, Baseline Energy Mix'!AI$13-1))</f>
        <v>0</v>
      </c>
      <c r="AJ212" s="1323">
        <f>IF('II. Inputs, Baseline Energy Mix'!$R$15=0,0,AJ206*'II. Inputs, Baseline Energy Mix'!$R$105*(1+'II. Inputs, Baseline Energy Mix'!$R$106)^('IV. LCOE, Baseline Energy Mix'!AJ$13-1))</f>
        <v>0</v>
      </c>
      <c r="AK212" s="1323">
        <f>IF('II. Inputs, Baseline Energy Mix'!$R$15=0,0,AK206*'II. Inputs, Baseline Energy Mix'!$R$105*(1+'II. Inputs, Baseline Energy Mix'!$R$106)^('IV. LCOE, Baseline Energy Mix'!AK$13-1))</f>
        <v>0</v>
      </c>
      <c r="AL212" s="1323">
        <f>IF('II. Inputs, Baseline Energy Mix'!$R$15=0,0,AL206*'II. Inputs, Baseline Energy Mix'!$R$105*(1+'II. Inputs, Baseline Energy Mix'!$R$106)^('IV. LCOE, Baseline Energy Mix'!AL$13-1))</f>
        <v>0</v>
      </c>
      <c r="AM212" s="1323">
        <f>IF('II. Inputs, Baseline Energy Mix'!$R$15=0,0,AM206*'II. Inputs, Baseline Energy Mix'!$R$105*(1+'II. Inputs, Baseline Energy Mix'!$R$106)^('IV. LCOE, Baseline Energy Mix'!AM$13-1))</f>
        <v>0</v>
      </c>
      <c r="AN212" s="1323">
        <f>IF('II. Inputs, Baseline Energy Mix'!$R$15=0,0,AN206*'II. Inputs, Baseline Energy Mix'!$R$105*(1+'II. Inputs, Baseline Energy Mix'!$R$106)^('IV. LCOE, Baseline Energy Mix'!AN$13-1))</f>
        <v>0</v>
      </c>
      <c r="AO212" s="1323">
        <f>IF('II. Inputs, Baseline Energy Mix'!$R$15=0,0,AO206*'II. Inputs, Baseline Energy Mix'!$R$105*(1+'II. Inputs, Baseline Energy Mix'!$R$106)^('IV. LCOE, Baseline Energy Mix'!AO$13-1))</f>
        <v>0</v>
      </c>
      <c r="AP212" s="1323">
        <f>IF('II. Inputs, Baseline Energy Mix'!$R$15=0,0,AP206*'II. Inputs, Baseline Energy Mix'!$R$105*(1+'II. Inputs, Baseline Energy Mix'!$R$106)^('IV. LCOE, Baseline Energy Mix'!AP$13-1))</f>
        <v>0</v>
      </c>
      <c r="AQ212" s="1323">
        <f>IF('II. Inputs, Baseline Energy Mix'!$R$15=0,0,AQ206*'II. Inputs, Baseline Energy Mix'!$R$105*(1+'II. Inputs, Baseline Energy Mix'!$R$106)^('IV. LCOE, Baseline Energy Mix'!AQ$13-1))</f>
        <v>0</v>
      </c>
      <c r="AR212" s="1323">
        <f>IF('II. Inputs, Baseline Energy Mix'!$R$15=0,0,AR206*'II. Inputs, Baseline Energy Mix'!$R$105*(1+'II. Inputs, Baseline Energy Mix'!$R$106)^('IV. LCOE, Baseline Energy Mix'!AR$13-1))</f>
        <v>0</v>
      </c>
      <c r="AS212" s="1323">
        <f>IF('II. Inputs, Baseline Energy Mix'!$R$15=0,0,AS206*'II. Inputs, Baseline Energy Mix'!$R$105*(1+'II. Inputs, Baseline Energy Mix'!$R$106)^('IV. LCOE, Baseline Energy Mix'!AS$13-1))</f>
        <v>0</v>
      </c>
      <c r="AT212" s="1323">
        <f>IF('II. Inputs, Baseline Energy Mix'!$R$15=0,0,AT206*'II. Inputs, Baseline Energy Mix'!$R$105*(1+'II. Inputs, Baseline Energy Mix'!$R$106)^('IV. LCOE, Baseline Energy Mix'!AT$13-1))</f>
        <v>0</v>
      </c>
      <c r="AU212" s="1323">
        <f>IF('II. Inputs, Baseline Energy Mix'!$R$15=0,0,AU206*'II. Inputs, Baseline Energy Mix'!$R$105*(1+'II. Inputs, Baseline Energy Mix'!$R$106)^('IV. LCOE, Baseline Energy Mix'!AU$13-1))</f>
        <v>0</v>
      </c>
      <c r="AV212" s="1323">
        <f>IF('II. Inputs, Baseline Energy Mix'!$R$15=0,0,AV206*'II. Inputs, Baseline Energy Mix'!$R$105*(1+'II. Inputs, Baseline Energy Mix'!$R$106)^('IV. LCOE, Baseline Energy Mix'!AV$13-1))</f>
        <v>0</v>
      </c>
      <c r="AW212" s="1323">
        <f>IF('II. Inputs, Baseline Energy Mix'!$R$15=0,0,AW206*'II. Inputs, Baseline Energy Mix'!$R$105*(1+'II. Inputs, Baseline Energy Mix'!$R$106)^('IV. LCOE, Baseline Energy Mix'!AW$13-1))</f>
        <v>0</v>
      </c>
      <c r="AX212" s="1323">
        <f>IF('II. Inputs, Baseline Energy Mix'!$R$15=0,0,AX206*'II. Inputs, Baseline Energy Mix'!$R$105*(1+'II. Inputs, Baseline Energy Mix'!$R$106)^('IV. LCOE, Baseline Energy Mix'!AX$13-1))</f>
        <v>0</v>
      </c>
      <c r="AY212" s="1323">
        <f>IF('II. Inputs, Baseline Energy Mix'!$R$15=0,0,AY206*'II. Inputs, Baseline Energy Mix'!$R$105*(1+'II. Inputs, Baseline Energy Mix'!$R$106)^('IV. LCOE, Baseline Energy Mix'!AY$13-1))</f>
        <v>0</v>
      </c>
      <c r="AZ212" s="1323">
        <f>IF('II. Inputs, Baseline Energy Mix'!$R$15=0,0,AZ206*'II. Inputs, Baseline Energy Mix'!$R$105*(1+'II. Inputs, Baseline Energy Mix'!$R$106)^('IV. LCOE, Baseline Energy Mix'!AZ$13-1))</f>
        <v>0</v>
      </c>
      <c r="BA212" s="1323">
        <f>IF('II. Inputs, Baseline Energy Mix'!$R$15=0,0,BA206*'II. Inputs, Baseline Energy Mix'!$R$105*(1+'II. Inputs, Baseline Energy Mix'!$R$106)^('IV. LCOE, Baseline Energy Mix'!BA$13-1))</f>
        <v>0</v>
      </c>
      <c r="BB212" s="1323">
        <f>IF('II. Inputs, Baseline Energy Mix'!$R$15=0,0,BB206*'II. Inputs, Baseline Energy Mix'!$R$105*(1+'II. Inputs, Baseline Energy Mix'!$R$106)^('IV. LCOE, Baseline Energy Mix'!BB$13-1))</f>
        <v>0</v>
      </c>
      <c r="BC212" s="1323">
        <f>IF('II. Inputs, Baseline Energy Mix'!$R$15=0,0,BC206*'II. Inputs, Baseline Energy Mix'!$R$105*(1+'II. Inputs, Baseline Energy Mix'!$R$106)^('IV. LCOE, Baseline Energy Mix'!BC$13-1))</f>
        <v>0</v>
      </c>
      <c r="BD212" s="1323">
        <f>IF('II. Inputs, Baseline Energy Mix'!$R$15=0,0,BD206*'II. Inputs, Baseline Energy Mix'!$R$105*(1+'II. Inputs, Baseline Energy Mix'!$R$106)^('IV. LCOE, Baseline Energy Mix'!BD$13-1))</f>
        <v>0</v>
      </c>
      <c r="BE212" s="1324">
        <f>IF('II. Inputs, Baseline Energy Mix'!$R$15=0,0,BE206*'II. Inputs, Baseline Energy Mix'!$R$105*(1+'II. Inputs, Baseline Energy Mix'!$R$106)^('IV. LCOE, Baseline Energy Mix'!BE$13-1))</f>
        <v>0</v>
      </c>
    </row>
    <row r="213" spans="2:57" x14ac:dyDescent="0.25">
      <c r="B213" s="331"/>
      <c r="C213" s="332"/>
      <c r="D213" s="332"/>
      <c r="E213" s="335"/>
      <c r="F213" s="335"/>
      <c r="G213" s="332"/>
      <c r="H213" s="1186"/>
      <c r="I213" s="1186"/>
      <c r="J213" s="1186"/>
      <c r="K213" s="1186"/>
      <c r="L213" s="1186"/>
      <c r="M213" s="1186"/>
      <c r="N213" s="1186"/>
      <c r="O213" s="1186"/>
      <c r="P213" s="1186"/>
      <c r="Q213" s="1186"/>
      <c r="R213" s="1186"/>
      <c r="S213" s="1186"/>
      <c r="T213" s="1186"/>
      <c r="U213" s="1186"/>
      <c r="V213" s="1186"/>
      <c r="W213" s="1186"/>
      <c r="X213" s="1186"/>
      <c r="Y213" s="1186"/>
      <c r="Z213" s="1186"/>
      <c r="AA213" s="1186"/>
      <c r="AB213" s="1186"/>
      <c r="AC213" s="1186"/>
      <c r="AD213" s="1186"/>
      <c r="AE213" s="1186"/>
      <c r="AF213" s="1186"/>
      <c r="AG213" s="1186"/>
      <c r="AH213" s="1186"/>
      <c r="AI213" s="1186"/>
      <c r="AJ213" s="1186"/>
      <c r="AK213" s="1186"/>
      <c r="AL213" s="1186"/>
      <c r="AM213" s="1186"/>
      <c r="AN213" s="1186"/>
      <c r="AO213" s="1186"/>
      <c r="AP213" s="1186"/>
      <c r="AQ213" s="1186"/>
      <c r="AR213" s="1186"/>
      <c r="AS213" s="1186"/>
      <c r="AT213" s="1186"/>
      <c r="AU213" s="1186"/>
      <c r="AV213" s="1186"/>
      <c r="AW213" s="1186"/>
      <c r="AX213" s="1186"/>
      <c r="AY213" s="1186"/>
      <c r="AZ213" s="1186"/>
      <c r="BA213" s="1186"/>
      <c r="BB213" s="1186"/>
      <c r="BC213" s="1186"/>
      <c r="BD213" s="1186"/>
      <c r="BE213" s="1187"/>
    </row>
    <row r="214" spans="2:57" x14ac:dyDescent="0.25">
      <c r="B214" s="331" t="s">
        <v>38</v>
      </c>
      <c r="C214" s="332"/>
      <c r="D214" s="332"/>
      <c r="E214" s="335"/>
      <c r="F214" s="335" t="s">
        <v>626</v>
      </c>
      <c r="G214" s="332"/>
      <c r="H214" s="1321">
        <f>IF('II. Inputs, Baseline Energy Mix'!$R$96="Model Default",'IV. LCOE, Baseline Energy Mix'!H215,IF('II. Inputs, Baseline Energy Mix'!$R$96="User-defined, annually adjusted",'IV. LCOE, Baseline Energy Mix'!H216,IF('II. Inputs, Baseline Energy Mix'!$R$96="Manual Entry",'IV. LCOE, Baseline Energy Mix'!H218,H217)))</f>
        <v>57.095034246827481</v>
      </c>
      <c r="I214" s="1321">
        <f>IF('II. Inputs, Baseline Energy Mix'!$R$96="Model Default",'IV. LCOE, Baseline Energy Mix'!I215,IF('II. Inputs, Baseline Energy Mix'!$R$96="User-defined, annually adjusted",'IV. LCOE, Baseline Energy Mix'!I216,IF('II. Inputs, Baseline Energy Mix'!$R$96="Manual Entry",'IV. LCOE, Baseline Energy Mix'!I218,I217)))</f>
        <v>58.300068493654962</v>
      </c>
      <c r="J214" s="1321">
        <f>IF('II. Inputs, Baseline Energy Mix'!$R$96="Model Default",'IV. LCOE, Baseline Energy Mix'!J215,IF('II. Inputs, Baseline Energy Mix'!$R$96="User-defined, annually adjusted",'IV. LCOE, Baseline Energy Mix'!J216,IF('II. Inputs, Baseline Energy Mix'!$R$96="Manual Entry",'IV. LCOE, Baseline Energy Mix'!J218,J217)))</f>
        <v>59.505102740482442</v>
      </c>
      <c r="K214" s="1321">
        <f>IF('II. Inputs, Baseline Energy Mix'!$R$96="Model Default",'IV. LCOE, Baseline Energy Mix'!K215,IF('II. Inputs, Baseline Energy Mix'!$R$96="User-defined, annually adjusted",'IV. LCOE, Baseline Energy Mix'!K216,IF('II. Inputs, Baseline Energy Mix'!$R$96="Manual Entry",'IV. LCOE, Baseline Energy Mix'!K218,K217)))</f>
        <v>60.710136987309916</v>
      </c>
      <c r="L214" s="1321">
        <f>IF('II. Inputs, Baseline Energy Mix'!$R$96="Model Default",'IV. LCOE, Baseline Energy Mix'!L215,IF('II. Inputs, Baseline Energy Mix'!$R$96="User-defined, annually adjusted",'IV. LCOE, Baseline Energy Mix'!L216,IF('II. Inputs, Baseline Energy Mix'!$R$96="Manual Entry",'IV. LCOE, Baseline Energy Mix'!L218,L217)))</f>
        <v>61.915171234137397</v>
      </c>
      <c r="M214" s="1321">
        <f>IF('II. Inputs, Baseline Energy Mix'!$R$96="Model Default",'IV. LCOE, Baseline Energy Mix'!M215,IF('II. Inputs, Baseline Energy Mix'!$R$96="User-defined, annually adjusted",'IV. LCOE, Baseline Energy Mix'!M216,IF('II. Inputs, Baseline Energy Mix'!$R$96="Manual Entry",'IV. LCOE, Baseline Energy Mix'!M218,M217)))</f>
        <v>63.120205480964877</v>
      </c>
      <c r="N214" s="1321">
        <f>IF('II. Inputs, Baseline Energy Mix'!$R$96="Model Default",'IV. LCOE, Baseline Energy Mix'!N215,IF('II. Inputs, Baseline Energy Mix'!$R$96="User-defined, annually adjusted",'IV. LCOE, Baseline Energy Mix'!N216,IF('II. Inputs, Baseline Energy Mix'!$R$96="Manual Entry",'IV. LCOE, Baseline Energy Mix'!N218,N217)))</f>
        <v>64.325239727792365</v>
      </c>
      <c r="O214" s="1321">
        <f>IF('II. Inputs, Baseline Energy Mix'!$R$96="Model Default",'IV. LCOE, Baseline Energy Mix'!O215,IF('II. Inputs, Baseline Energy Mix'!$R$96="User-defined, annually adjusted",'IV. LCOE, Baseline Energy Mix'!O216,IF('II. Inputs, Baseline Energy Mix'!$R$96="Manual Entry",'IV. LCOE, Baseline Energy Mix'!O218,O217)))</f>
        <v>65.530273974619831</v>
      </c>
      <c r="P214" s="1321">
        <f>IF('II. Inputs, Baseline Energy Mix'!$R$96="Model Default",'IV. LCOE, Baseline Energy Mix'!P215,IF('II. Inputs, Baseline Energy Mix'!$R$96="User-defined, annually adjusted",'IV. LCOE, Baseline Energy Mix'!P216,IF('II. Inputs, Baseline Energy Mix'!$R$96="Manual Entry",'IV. LCOE, Baseline Energy Mix'!P218,P217)))</f>
        <v>66.735308221447312</v>
      </c>
      <c r="Q214" s="1321">
        <f>IF('II. Inputs, Baseline Energy Mix'!$R$96="Model Default",'IV. LCOE, Baseline Energy Mix'!Q215,IF('II. Inputs, Baseline Energy Mix'!$R$96="User-defined, annually adjusted",'IV. LCOE, Baseline Energy Mix'!Q216,IF('II. Inputs, Baseline Energy Mix'!$R$96="Manual Entry",'IV. LCOE, Baseline Energy Mix'!Q218,Q217)))</f>
        <v>67.940342468274793</v>
      </c>
      <c r="R214" s="1321">
        <f>IF('II. Inputs, Baseline Energy Mix'!$R$96="Model Default",'IV. LCOE, Baseline Energy Mix'!R215,IF('II. Inputs, Baseline Energy Mix'!$R$96="User-defined, annually adjusted",'IV. LCOE, Baseline Energy Mix'!R216,IF('II. Inputs, Baseline Energy Mix'!$R$96="Manual Entry",'IV. LCOE, Baseline Energy Mix'!R218,R217)))</f>
        <v>69.145376715102273</v>
      </c>
      <c r="S214" s="1321">
        <f>IF('II. Inputs, Baseline Energy Mix'!$R$96="Model Default",'IV. LCOE, Baseline Energy Mix'!S215,IF('II. Inputs, Baseline Energy Mix'!$R$96="User-defined, annually adjusted",'IV. LCOE, Baseline Energy Mix'!S216,IF('II. Inputs, Baseline Energy Mix'!$R$96="Manual Entry",'IV. LCOE, Baseline Energy Mix'!S218,S217)))</f>
        <v>70.350410961929754</v>
      </c>
      <c r="T214" s="1321">
        <f>IF('II. Inputs, Baseline Energy Mix'!$R$96="Model Default",'IV. LCOE, Baseline Energy Mix'!T215,IF('II. Inputs, Baseline Energy Mix'!$R$96="User-defined, annually adjusted",'IV. LCOE, Baseline Energy Mix'!T216,IF('II. Inputs, Baseline Energy Mix'!$R$96="Manual Entry",'IV. LCOE, Baseline Energy Mix'!T218,T217)))</f>
        <v>71.555445208757234</v>
      </c>
      <c r="U214" s="1321">
        <f>IF('II. Inputs, Baseline Energy Mix'!$R$96="Model Default",'IV. LCOE, Baseline Energy Mix'!U215,IF('II. Inputs, Baseline Energy Mix'!$R$96="User-defined, annually adjusted",'IV. LCOE, Baseline Energy Mix'!U216,IF('II. Inputs, Baseline Energy Mix'!$R$96="Manual Entry",'IV. LCOE, Baseline Energy Mix'!U218,U217)))</f>
        <v>72.760479455584715</v>
      </c>
      <c r="V214" s="1321">
        <f>IF('II. Inputs, Baseline Energy Mix'!$R$96="Model Default",'IV. LCOE, Baseline Energy Mix'!V215,IF('II. Inputs, Baseline Energy Mix'!$R$96="User-defined, annually adjusted",'IV. LCOE, Baseline Energy Mix'!V216,IF('II. Inputs, Baseline Energy Mix'!$R$96="Manual Entry",'IV. LCOE, Baseline Energy Mix'!V218,V217)))</f>
        <v>73.965513702412196</v>
      </c>
      <c r="W214" s="1321">
        <f>IF('II. Inputs, Baseline Energy Mix'!$R$96="Model Default",'IV. LCOE, Baseline Energy Mix'!W215,IF('II. Inputs, Baseline Energy Mix'!$R$96="User-defined, annually adjusted",'IV. LCOE, Baseline Energy Mix'!W216,IF('II. Inputs, Baseline Energy Mix'!$R$96="Manual Entry",'IV. LCOE, Baseline Energy Mix'!W218,W217)))</f>
        <v>75.170547949239676</v>
      </c>
      <c r="X214" s="1321">
        <f>IF('II. Inputs, Baseline Energy Mix'!$R$96="Model Default",'IV. LCOE, Baseline Energy Mix'!X215,IF('II. Inputs, Baseline Energy Mix'!$R$96="User-defined, annually adjusted",'IV. LCOE, Baseline Energy Mix'!X216,IF('II. Inputs, Baseline Energy Mix'!$R$96="Manual Entry",'IV. LCOE, Baseline Energy Mix'!X218,X217)))</f>
        <v>76.375582196067157</v>
      </c>
      <c r="Y214" s="1321">
        <f>IF('II. Inputs, Baseline Energy Mix'!$R$96="Model Default",'IV. LCOE, Baseline Energy Mix'!Y215,IF('II. Inputs, Baseline Energy Mix'!$R$96="User-defined, annually adjusted",'IV. LCOE, Baseline Energy Mix'!Y216,IF('II. Inputs, Baseline Energy Mix'!$R$96="Manual Entry",'IV. LCOE, Baseline Energy Mix'!Y218,Y217)))</f>
        <v>77.580616442894637</v>
      </c>
      <c r="Z214" s="1321">
        <f>IF('II. Inputs, Baseline Energy Mix'!$R$96="Model Default",'IV. LCOE, Baseline Energy Mix'!Z215,IF('II. Inputs, Baseline Energy Mix'!$R$96="User-defined, annually adjusted",'IV. LCOE, Baseline Energy Mix'!Z216,IF('II. Inputs, Baseline Energy Mix'!$R$96="Manual Entry",'IV. LCOE, Baseline Energy Mix'!Z218,Z217)))</f>
        <v>78.785650689722104</v>
      </c>
      <c r="AA214" s="1321">
        <f>IF('II. Inputs, Baseline Energy Mix'!$R$96="Model Default",'IV. LCOE, Baseline Energy Mix'!AA215,IF('II. Inputs, Baseline Energy Mix'!$R$96="User-defined, annually adjusted",'IV. LCOE, Baseline Energy Mix'!AA216,IF('II. Inputs, Baseline Energy Mix'!$R$96="Manual Entry",'IV. LCOE, Baseline Energy Mix'!AA218,AA217)))</f>
        <v>79.990684936549584</v>
      </c>
      <c r="AB214" s="1321">
        <f>IF('II. Inputs, Baseline Energy Mix'!$R$96="Model Default",'IV. LCOE, Baseline Energy Mix'!AB215,IF('II. Inputs, Baseline Energy Mix'!$R$96="User-defined, annually adjusted",'IV. LCOE, Baseline Energy Mix'!AB216,IF('II. Inputs, Baseline Energy Mix'!$R$96="Manual Entry",'IV. LCOE, Baseline Energy Mix'!AB218,AB217)))</f>
        <v>81.727684531943652</v>
      </c>
      <c r="AC214" s="1321">
        <f>IF('II. Inputs, Baseline Energy Mix'!$R$96="Model Default",'IV. LCOE, Baseline Energy Mix'!AC215,IF('II. Inputs, Baseline Energy Mix'!$R$96="User-defined, annually adjusted",'IV. LCOE, Baseline Energy Mix'!AC216,IF('II. Inputs, Baseline Energy Mix'!$R$96="Manual Entry",'IV. LCOE, Baseline Energy Mix'!AC218,AC217)))</f>
        <v>83.464684127337705</v>
      </c>
      <c r="AD214" s="1321">
        <f>IF('II. Inputs, Baseline Energy Mix'!$R$96="Model Default",'IV. LCOE, Baseline Energy Mix'!AD215,IF('II. Inputs, Baseline Energy Mix'!$R$96="User-defined, annually adjusted",'IV. LCOE, Baseline Energy Mix'!AD216,IF('II. Inputs, Baseline Energy Mix'!$R$96="Manual Entry",'IV. LCOE, Baseline Energy Mix'!AD218,AD217)))</f>
        <v>85.201683722731758</v>
      </c>
      <c r="AE214" s="1321">
        <f>IF('II. Inputs, Baseline Energy Mix'!$R$96="Model Default",'IV. LCOE, Baseline Energy Mix'!AE215,IF('II. Inputs, Baseline Energy Mix'!$R$96="User-defined, annually adjusted",'IV. LCOE, Baseline Energy Mix'!AE216,IF('II. Inputs, Baseline Energy Mix'!$R$96="Manual Entry",'IV. LCOE, Baseline Energy Mix'!AE218,AE217)))</f>
        <v>86.938683318125811</v>
      </c>
      <c r="AF214" s="1321">
        <f>IF('II. Inputs, Baseline Energy Mix'!$R$96="Model Default",'IV. LCOE, Baseline Energy Mix'!AF215,IF('II. Inputs, Baseline Energy Mix'!$R$96="User-defined, annually adjusted",'IV. LCOE, Baseline Energy Mix'!AF216,IF('II. Inputs, Baseline Energy Mix'!$R$96="Manual Entry",'IV. LCOE, Baseline Energy Mix'!AF218,AF217)))</f>
        <v>88.675682913519864</v>
      </c>
      <c r="AG214" s="1321">
        <f>IF('II. Inputs, Baseline Energy Mix'!$R$96="Model Default",'IV. LCOE, Baseline Energy Mix'!AG215,IF('II. Inputs, Baseline Energy Mix'!$R$96="User-defined, annually adjusted",'IV. LCOE, Baseline Energy Mix'!AG216,IF('II. Inputs, Baseline Energy Mix'!$R$96="Manual Entry",'IV. LCOE, Baseline Energy Mix'!AG218,AG217)))</f>
        <v>90.412682508913917</v>
      </c>
      <c r="AH214" s="1321">
        <f>IF('II. Inputs, Baseline Energy Mix'!$R$96="Model Default",'IV. LCOE, Baseline Energy Mix'!AH215,IF('II. Inputs, Baseline Energy Mix'!$R$96="User-defined, annually adjusted",'IV. LCOE, Baseline Energy Mix'!AH216,IF('II. Inputs, Baseline Energy Mix'!$R$96="Manual Entry",'IV. LCOE, Baseline Energy Mix'!AH218,AH217)))</f>
        <v>92.149682104307971</v>
      </c>
      <c r="AI214" s="1321">
        <f>IF('II. Inputs, Baseline Energy Mix'!$R$96="Model Default",'IV. LCOE, Baseline Energy Mix'!AI215,IF('II. Inputs, Baseline Energy Mix'!$R$96="User-defined, annually adjusted",'IV. LCOE, Baseline Energy Mix'!AI216,IF('II. Inputs, Baseline Energy Mix'!$R$96="Manual Entry",'IV. LCOE, Baseline Energy Mix'!AI218,AI217)))</f>
        <v>93.886681699702024</v>
      </c>
      <c r="AJ214" s="1321">
        <f>IF('II. Inputs, Baseline Energy Mix'!$R$96="Model Default",'IV. LCOE, Baseline Energy Mix'!AJ215,IF('II. Inputs, Baseline Energy Mix'!$R$96="User-defined, annually adjusted",'IV. LCOE, Baseline Energy Mix'!AJ216,IF('II. Inputs, Baseline Energy Mix'!$R$96="Manual Entry",'IV. LCOE, Baseline Energy Mix'!AJ218,AJ217)))</f>
        <v>95.623681295096077</v>
      </c>
      <c r="AK214" s="1321">
        <f>IF('II. Inputs, Baseline Energy Mix'!$R$96="Model Default",'IV. LCOE, Baseline Energy Mix'!AK215,IF('II. Inputs, Baseline Energy Mix'!$R$96="User-defined, annually adjusted",'IV. LCOE, Baseline Energy Mix'!AK216,IF('II. Inputs, Baseline Energy Mix'!$R$96="Manual Entry",'IV. LCOE, Baseline Energy Mix'!AK218,AK217)))</f>
        <v>97.36068089049013</v>
      </c>
      <c r="AL214" s="1321">
        <f>IF('II. Inputs, Baseline Energy Mix'!$R$96="Model Default",'IV. LCOE, Baseline Energy Mix'!AL215,IF('II. Inputs, Baseline Energy Mix'!$R$96="User-defined, annually adjusted",'IV. LCOE, Baseline Energy Mix'!AL216,IF('II. Inputs, Baseline Energy Mix'!$R$96="Manual Entry",'IV. LCOE, Baseline Energy Mix'!AL218,AL217)))</f>
        <v>0</v>
      </c>
      <c r="AM214" s="1321">
        <f>IF('II. Inputs, Baseline Energy Mix'!$R$96="Model Default",'IV. LCOE, Baseline Energy Mix'!AM215,IF('II. Inputs, Baseline Energy Mix'!$R$96="User-defined, annually adjusted",'IV. LCOE, Baseline Energy Mix'!AM216,IF('II. Inputs, Baseline Energy Mix'!$R$96="Manual Entry",'IV. LCOE, Baseline Energy Mix'!AM218,AM217)))</f>
        <v>0</v>
      </c>
      <c r="AN214" s="1321">
        <f>IF('II. Inputs, Baseline Energy Mix'!$R$96="Model Default",'IV. LCOE, Baseline Energy Mix'!AN215,IF('II. Inputs, Baseline Energy Mix'!$R$96="User-defined, annually adjusted",'IV. LCOE, Baseline Energy Mix'!AN216,IF('II. Inputs, Baseline Energy Mix'!$R$96="Manual Entry",'IV. LCOE, Baseline Energy Mix'!AN218,AN217)))</f>
        <v>0</v>
      </c>
      <c r="AO214" s="1321">
        <f>IF('II. Inputs, Baseline Energy Mix'!$R$96="Model Default",'IV. LCOE, Baseline Energy Mix'!AO215,IF('II. Inputs, Baseline Energy Mix'!$R$96="User-defined, annually adjusted",'IV. LCOE, Baseline Energy Mix'!AO216,IF('II. Inputs, Baseline Energy Mix'!$R$96="Manual Entry",'IV. LCOE, Baseline Energy Mix'!AO218,AO217)))</f>
        <v>0</v>
      </c>
      <c r="AP214" s="1321">
        <f>IF('II. Inputs, Baseline Energy Mix'!$R$96="Model Default",'IV. LCOE, Baseline Energy Mix'!AP215,IF('II. Inputs, Baseline Energy Mix'!$R$96="User-defined, annually adjusted",'IV. LCOE, Baseline Energy Mix'!AP216,IF('II. Inputs, Baseline Energy Mix'!$R$96="Manual Entry",'IV. LCOE, Baseline Energy Mix'!AP218,AP217)))</f>
        <v>0</v>
      </c>
      <c r="AQ214" s="1321">
        <f>IF('II. Inputs, Baseline Energy Mix'!$R$96="Model Default",'IV. LCOE, Baseline Energy Mix'!AQ215,IF('II. Inputs, Baseline Energy Mix'!$R$96="User-defined, annually adjusted",'IV. LCOE, Baseline Energy Mix'!AQ216,IF('II. Inputs, Baseline Energy Mix'!$R$96="Manual Entry",'IV. LCOE, Baseline Energy Mix'!AQ218,AQ217)))</f>
        <v>0</v>
      </c>
      <c r="AR214" s="1321">
        <f>IF('II. Inputs, Baseline Energy Mix'!$R$96="Model Default",'IV. LCOE, Baseline Energy Mix'!AR215,IF('II. Inputs, Baseline Energy Mix'!$R$96="User-defined, annually adjusted",'IV. LCOE, Baseline Energy Mix'!AR216,IF('II. Inputs, Baseline Energy Mix'!$R$96="Manual Entry",'IV. LCOE, Baseline Energy Mix'!AR218,AR217)))</f>
        <v>0</v>
      </c>
      <c r="AS214" s="1321">
        <f>IF('II. Inputs, Baseline Energy Mix'!$R$96="Model Default",'IV. LCOE, Baseline Energy Mix'!AS215,IF('II. Inputs, Baseline Energy Mix'!$R$96="User-defined, annually adjusted",'IV. LCOE, Baseline Energy Mix'!AS216,IF('II. Inputs, Baseline Energy Mix'!$R$96="Manual Entry",'IV. LCOE, Baseline Energy Mix'!AS218,AS217)))</f>
        <v>0</v>
      </c>
      <c r="AT214" s="1321">
        <f>IF('II. Inputs, Baseline Energy Mix'!$R$96="Model Default",'IV. LCOE, Baseline Energy Mix'!AT215,IF('II. Inputs, Baseline Energy Mix'!$R$96="User-defined, annually adjusted",'IV. LCOE, Baseline Energy Mix'!AT216,IF('II. Inputs, Baseline Energy Mix'!$R$96="Manual Entry",'IV. LCOE, Baseline Energy Mix'!AT218,AT217)))</f>
        <v>0</v>
      </c>
      <c r="AU214" s="1321">
        <f>IF('II. Inputs, Baseline Energy Mix'!$R$96="Model Default",'IV. LCOE, Baseline Energy Mix'!AU215,IF('II. Inputs, Baseline Energy Mix'!$R$96="User-defined, annually adjusted",'IV. LCOE, Baseline Energy Mix'!AU216,IF('II. Inputs, Baseline Energy Mix'!$R$96="Manual Entry",'IV. LCOE, Baseline Energy Mix'!AU218,AU217)))</f>
        <v>0</v>
      </c>
      <c r="AV214" s="1321">
        <f>IF('II. Inputs, Baseline Energy Mix'!$R$96="Model Default",'IV. LCOE, Baseline Energy Mix'!AV215,IF('II. Inputs, Baseline Energy Mix'!$R$96="User-defined, annually adjusted",'IV. LCOE, Baseline Energy Mix'!AV216,IF('II. Inputs, Baseline Energy Mix'!$R$96="Manual Entry",'IV. LCOE, Baseline Energy Mix'!AV218,AV217)))</f>
        <v>0</v>
      </c>
      <c r="AW214" s="1321">
        <f>IF('II. Inputs, Baseline Energy Mix'!$R$96="Model Default",'IV. LCOE, Baseline Energy Mix'!AW215,IF('II. Inputs, Baseline Energy Mix'!$R$96="User-defined, annually adjusted",'IV. LCOE, Baseline Energy Mix'!AW216,IF('II. Inputs, Baseline Energy Mix'!$R$96="Manual Entry",'IV. LCOE, Baseline Energy Mix'!AW218,AW217)))</f>
        <v>0</v>
      </c>
      <c r="AX214" s="1321">
        <f>IF('II. Inputs, Baseline Energy Mix'!$R$96="Model Default",'IV. LCOE, Baseline Energy Mix'!AX215,IF('II. Inputs, Baseline Energy Mix'!$R$96="User-defined, annually adjusted",'IV. LCOE, Baseline Energy Mix'!AX216,IF('II. Inputs, Baseline Energy Mix'!$R$96="Manual Entry",'IV. LCOE, Baseline Energy Mix'!AX218,AX217)))</f>
        <v>0</v>
      </c>
      <c r="AY214" s="1321">
        <f>IF('II. Inputs, Baseline Energy Mix'!$R$96="Model Default",'IV. LCOE, Baseline Energy Mix'!AY215,IF('II. Inputs, Baseline Energy Mix'!$R$96="User-defined, annually adjusted",'IV. LCOE, Baseline Energy Mix'!AY216,IF('II. Inputs, Baseline Energy Mix'!$R$96="Manual Entry",'IV. LCOE, Baseline Energy Mix'!AY218,AY217)))</f>
        <v>0</v>
      </c>
      <c r="AZ214" s="1321">
        <f>IF('II. Inputs, Baseline Energy Mix'!$R$96="Model Default",'IV. LCOE, Baseline Energy Mix'!AZ215,IF('II. Inputs, Baseline Energy Mix'!$R$96="User-defined, annually adjusted",'IV. LCOE, Baseline Energy Mix'!AZ216,IF('II. Inputs, Baseline Energy Mix'!$R$96="Manual Entry",'IV. LCOE, Baseline Energy Mix'!AZ218,AZ217)))</f>
        <v>0</v>
      </c>
      <c r="BA214" s="1321">
        <f>IF('II. Inputs, Baseline Energy Mix'!$R$96="Model Default",'IV. LCOE, Baseline Energy Mix'!BA215,IF('II. Inputs, Baseline Energy Mix'!$R$96="User-defined, annually adjusted",'IV. LCOE, Baseline Energy Mix'!BA216,IF('II. Inputs, Baseline Energy Mix'!$R$96="Manual Entry",'IV. LCOE, Baseline Energy Mix'!BA218,BA217)))</f>
        <v>0</v>
      </c>
      <c r="BB214" s="1321">
        <f>IF('II. Inputs, Baseline Energy Mix'!$R$96="Model Default",'IV. LCOE, Baseline Energy Mix'!BB215,IF('II. Inputs, Baseline Energy Mix'!$R$96="User-defined, annually adjusted",'IV. LCOE, Baseline Energy Mix'!BB216,IF('II. Inputs, Baseline Energy Mix'!$R$96="Manual Entry",'IV. LCOE, Baseline Energy Mix'!BB218,BB217)))</f>
        <v>0</v>
      </c>
      <c r="BC214" s="1321">
        <f>IF('II. Inputs, Baseline Energy Mix'!$R$96="Model Default",'IV. LCOE, Baseline Energy Mix'!BC215,IF('II. Inputs, Baseline Energy Mix'!$R$96="User-defined, annually adjusted",'IV. LCOE, Baseline Energy Mix'!BC216,IF('II. Inputs, Baseline Energy Mix'!$R$96="Manual Entry",'IV. LCOE, Baseline Energy Mix'!BC218,BC217)))</f>
        <v>0</v>
      </c>
      <c r="BD214" s="1321">
        <f>IF('II. Inputs, Baseline Energy Mix'!$R$96="Model Default",'IV. LCOE, Baseline Energy Mix'!BD215,IF('II. Inputs, Baseline Energy Mix'!$R$96="User-defined, annually adjusted",'IV. LCOE, Baseline Energy Mix'!BD216,IF('II. Inputs, Baseline Energy Mix'!$R$96="Manual Entry",'IV. LCOE, Baseline Energy Mix'!BD218,BD217)))</f>
        <v>0</v>
      </c>
      <c r="BE214" s="1322">
        <f>IF('II. Inputs, Baseline Energy Mix'!$R$96="Model Default",'IV. LCOE, Baseline Energy Mix'!BE215,IF('II. Inputs, Baseline Energy Mix'!$R$96="User-defined, annually adjusted",'IV. LCOE, Baseline Energy Mix'!BE216,IF('II. Inputs, Baseline Energy Mix'!$R$96="Manual Entry",'IV. LCOE, Baseline Energy Mix'!BE218,BE217)))</f>
        <v>0</v>
      </c>
    </row>
    <row r="215" spans="2:57" outlineLevel="1" x14ac:dyDescent="0.25">
      <c r="B215" s="331"/>
      <c r="C215" s="332" t="s">
        <v>159</v>
      </c>
      <c r="D215" s="332"/>
      <c r="E215" s="335"/>
      <c r="F215" s="335"/>
      <c r="G215" s="332"/>
      <c r="H215" s="1321">
        <f>H206*VLOOKUP('IV. LCOE, Baseline Energy Mix'!H$13,'VII. Additional Data'!$C$17:$V$66,7, FALSE)</f>
        <v>57.095034246827481</v>
      </c>
      <c r="I215" s="1321">
        <f>I206*VLOOKUP('IV. LCOE, Baseline Energy Mix'!I$13,'VII. Additional Data'!$C$17:$V$66,7, FALSE)</f>
        <v>58.300068493654962</v>
      </c>
      <c r="J215" s="1321">
        <f>J206*VLOOKUP('IV. LCOE, Baseline Energy Mix'!J$13,'VII. Additional Data'!$C$17:$V$66,7, FALSE)</f>
        <v>59.505102740482442</v>
      </c>
      <c r="K215" s="1321">
        <f>K206*VLOOKUP('IV. LCOE, Baseline Energy Mix'!K$13,'VII. Additional Data'!$C$17:$V$66,7, FALSE)</f>
        <v>60.710136987309916</v>
      </c>
      <c r="L215" s="1321">
        <f>L206*VLOOKUP('IV. LCOE, Baseline Energy Mix'!L$13,'VII. Additional Data'!$C$17:$V$66,7, FALSE)</f>
        <v>61.915171234137397</v>
      </c>
      <c r="M215" s="1321">
        <f>M206*VLOOKUP('IV. LCOE, Baseline Energy Mix'!M$13,'VII. Additional Data'!$C$17:$V$66,7, FALSE)</f>
        <v>63.120205480964877</v>
      </c>
      <c r="N215" s="1321">
        <f>N206*VLOOKUP('IV. LCOE, Baseline Energy Mix'!N$13,'VII. Additional Data'!$C$17:$V$66,7, FALSE)</f>
        <v>64.325239727792365</v>
      </c>
      <c r="O215" s="1321">
        <f>O206*VLOOKUP('IV. LCOE, Baseline Energy Mix'!O$13,'VII. Additional Data'!$C$17:$V$66,7, FALSE)</f>
        <v>65.530273974619831</v>
      </c>
      <c r="P215" s="1321">
        <f>P206*VLOOKUP('IV. LCOE, Baseline Energy Mix'!P$13,'VII. Additional Data'!$C$17:$V$66,7, FALSE)</f>
        <v>66.735308221447312</v>
      </c>
      <c r="Q215" s="1321">
        <f>Q206*VLOOKUP('IV. LCOE, Baseline Energy Mix'!Q$13,'VII. Additional Data'!$C$17:$V$66,7, FALSE)</f>
        <v>67.940342468274793</v>
      </c>
      <c r="R215" s="1321">
        <f>R206*VLOOKUP('IV. LCOE, Baseline Energy Mix'!R$13,'VII. Additional Data'!$C$17:$V$66,7, FALSE)</f>
        <v>69.145376715102273</v>
      </c>
      <c r="S215" s="1321">
        <f>S206*VLOOKUP('IV. LCOE, Baseline Energy Mix'!S$13,'VII. Additional Data'!$C$17:$V$66,7, FALSE)</f>
        <v>70.350410961929754</v>
      </c>
      <c r="T215" s="1321">
        <f>T206*VLOOKUP('IV. LCOE, Baseline Energy Mix'!T$13,'VII. Additional Data'!$C$17:$V$66,7, FALSE)</f>
        <v>71.555445208757234</v>
      </c>
      <c r="U215" s="1321">
        <f>U206*VLOOKUP('IV. LCOE, Baseline Energy Mix'!U$13,'VII. Additional Data'!$C$17:$V$66,7, FALSE)</f>
        <v>72.760479455584715</v>
      </c>
      <c r="V215" s="1321">
        <f>V206*VLOOKUP('IV. LCOE, Baseline Energy Mix'!V$13,'VII. Additional Data'!$C$17:$V$66,7, FALSE)</f>
        <v>73.965513702412196</v>
      </c>
      <c r="W215" s="1321">
        <f>W206*VLOOKUP('IV. LCOE, Baseline Energy Mix'!W$13,'VII. Additional Data'!$C$17:$V$66,7, FALSE)</f>
        <v>75.170547949239676</v>
      </c>
      <c r="X215" s="1321">
        <f>X206*VLOOKUP('IV. LCOE, Baseline Energy Mix'!X$13,'VII. Additional Data'!$C$17:$V$66,7, FALSE)</f>
        <v>76.375582196067157</v>
      </c>
      <c r="Y215" s="1321">
        <f>Y206*VLOOKUP('IV. LCOE, Baseline Energy Mix'!Y$13,'VII. Additional Data'!$C$17:$V$66,7, FALSE)</f>
        <v>77.580616442894637</v>
      </c>
      <c r="Z215" s="1321">
        <f>Z206*VLOOKUP('IV. LCOE, Baseline Energy Mix'!Z$13,'VII. Additional Data'!$C$17:$V$66,7, FALSE)</f>
        <v>78.785650689722104</v>
      </c>
      <c r="AA215" s="1321">
        <f>AA206*VLOOKUP('IV. LCOE, Baseline Energy Mix'!AA$13,'VII. Additional Data'!$C$17:$V$66,7, FALSE)</f>
        <v>79.990684936549584</v>
      </c>
      <c r="AB215" s="1321">
        <f>AB206*VLOOKUP('IV. LCOE, Baseline Energy Mix'!AB$13,'VII. Additional Data'!$C$17:$V$66,7, FALSE)</f>
        <v>81.727684531943652</v>
      </c>
      <c r="AC215" s="1321">
        <f>AC206*VLOOKUP('IV. LCOE, Baseline Energy Mix'!AC$13,'VII. Additional Data'!$C$17:$V$66,7, FALSE)</f>
        <v>83.464684127337705</v>
      </c>
      <c r="AD215" s="1321">
        <f>AD206*VLOOKUP('IV. LCOE, Baseline Energy Mix'!AD$13,'VII. Additional Data'!$C$17:$V$66,7, FALSE)</f>
        <v>85.201683722731758</v>
      </c>
      <c r="AE215" s="1321">
        <f>AE206*VLOOKUP('IV. LCOE, Baseline Energy Mix'!AE$13,'VII. Additional Data'!$C$17:$V$66,7, FALSE)</f>
        <v>86.938683318125811</v>
      </c>
      <c r="AF215" s="1321">
        <f>AF206*VLOOKUP('IV. LCOE, Baseline Energy Mix'!AF$13,'VII. Additional Data'!$C$17:$V$66,7, FALSE)</f>
        <v>88.675682913519864</v>
      </c>
      <c r="AG215" s="1321">
        <f>AG206*VLOOKUP('IV. LCOE, Baseline Energy Mix'!AG$13,'VII. Additional Data'!$C$17:$V$66,7, FALSE)</f>
        <v>90.412682508913917</v>
      </c>
      <c r="AH215" s="1321">
        <f>AH206*VLOOKUP('IV. LCOE, Baseline Energy Mix'!AH$13,'VII. Additional Data'!$C$17:$V$66,7, FALSE)</f>
        <v>92.149682104307971</v>
      </c>
      <c r="AI215" s="1321">
        <f>AI206*VLOOKUP('IV. LCOE, Baseline Energy Mix'!AI$13,'VII. Additional Data'!$C$17:$V$66,7, FALSE)</f>
        <v>93.886681699702024</v>
      </c>
      <c r="AJ215" s="1321">
        <f>AJ206*VLOOKUP('IV. LCOE, Baseline Energy Mix'!AJ$13,'VII. Additional Data'!$C$17:$V$66,7, FALSE)</f>
        <v>95.623681295096077</v>
      </c>
      <c r="AK215" s="1321">
        <f>AK206*VLOOKUP('IV. LCOE, Baseline Energy Mix'!AK$13,'VII. Additional Data'!$C$17:$V$66,7, FALSE)</f>
        <v>97.36068089049013</v>
      </c>
      <c r="AL215" s="1321">
        <f>AL206*VLOOKUP('IV. LCOE, Baseline Energy Mix'!AL$13,'VII. Additional Data'!$C$17:$V$66,7, FALSE)</f>
        <v>0</v>
      </c>
      <c r="AM215" s="1321">
        <f>AM206*VLOOKUP('IV. LCOE, Baseline Energy Mix'!AM$13,'VII. Additional Data'!$C$17:$V$66,7, FALSE)</f>
        <v>0</v>
      </c>
      <c r="AN215" s="1321">
        <f>AN206*VLOOKUP('IV. LCOE, Baseline Energy Mix'!AN$13,'VII. Additional Data'!$C$17:$V$66,7, FALSE)</f>
        <v>0</v>
      </c>
      <c r="AO215" s="1321">
        <f>AO206*VLOOKUP('IV. LCOE, Baseline Energy Mix'!AO$13,'VII. Additional Data'!$C$17:$V$66,7, FALSE)</f>
        <v>0</v>
      </c>
      <c r="AP215" s="1321">
        <f>AP206*VLOOKUP('IV. LCOE, Baseline Energy Mix'!AP$13,'VII. Additional Data'!$C$17:$V$66,7, FALSE)</f>
        <v>0</v>
      </c>
      <c r="AQ215" s="1321">
        <f>AQ206*VLOOKUP('IV. LCOE, Baseline Energy Mix'!AQ$13,'VII. Additional Data'!$C$17:$V$66,7, FALSE)</f>
        <v>0</v>
      </c>
      <c r="AR215" s="1321">
        <f>AR206*VLOOKUP('IV. LCOE, Baseline Energy Mix'!AR$13,'VII. Additional Data'!$C$17:$V$66,7, FALSE)</f>
        <v>0</v>
      </c>
      <c r="AS215" s="1321">
        <f>AS206*VLOOKUP('IV. LCOE, Baseline Energy Mix'!AS$13,'VII. Additional Data'!$C$17:$V$66,7, FALSE)</f>
        <v>0</v>
      </c>
      <c r="AT215" s="1321">
        <f>AT206*VLOOKUP('IV. LCOE, Baseline Energy Mix'!AT$13,'VII. Additional Data'!$C$17:$V$66,7, FALSE)</f>
        <v>0</v>
      </c>
      <c r="AU215" s="1321">
        <f>AU206*VLOOKUP('IV. LCOE, Baseline Energy Mix'!AU$13,'VII. Additional Data'!$C$17:$V$66,7, FALSE)</f>
        <v>0</v>
      </c>
      <c r="AV215" s="1321">
        <f>AV206*VLOOKUP('IV. LCOE, Baseline Energy Mix'!AV$13,'VII. Additional Data'!$C$17:$V$66,7, FALSE)</f>
        <v>0</v>
      </c>
      <c r="AW215" s="1321">
        <f>AW206*VLOOKUP('IV. LCOE, Baseline Energy Mix'!AW$13,'VII. Additional Data'!$C$17:$V$66,7, FALSE)</f>
        <v>0</v>
      </c>
      <c r="AX215" s="1321">
        <f>AX206*VLOOKUP('IV. LCOE, Baseline Energy Mix'!AX$13,'VII. Additional Data'!$C$17:$V$66,7, FALSE)</f>
        <v>0</v>
      </c>
      <c r="AY215" s="1321">
        <f>AY206*VLOOKUP('IV. LCOE, Baseline Energy Mix'!AY$13,'VII. Additional Data'!$C$17:$V$66,7, FALSE)</f>
        <v>0</v>
      </c>
      <c r="AZ215" s="1321">
        <f>AZ206*VLOOKUP('IV. LCOE, Baseline Energy Mix'!AZ$13,'VII. Additional Data'!$C$17:$V$66,7, FALSE)</f>
        <v>0</v>
      </c>
      <c r="BA215" s="1321">
        <f>BA206*VLOOKUP('IV. LCOE, Baseline Energy Mix'!BA$13,'VII. Additional Data'!$C$17:$V$66,7, FALSE)</f>
        <v>0</v>
      </c>
      <c r="BB215" s="1321">
        <f>BB206*VLOOKUP('IV. LCOE, Baseline Energy Mix'!BB$13,'VII. Additional Data'!$C$17:$V$66,7, FALSE)</f>
        <v>0</v>
      </c>
      <c r="BC215" s="1321">
        <f>BC206*VLOOKUP('IV. LCOE, Baseline Energy Mix'!BC$13,'VII. Additional Data'!$C$17:$V$66,7, FALSE)</f>
        <v>0</v>
      </c>
      <c r="BD215" s="1321">
        <f>BD206*VLOOKUP('IV. LCOE, Baseline Energy Mix'!BD$13,'VII. Additional Data'!$C$17:$V$66,7, FALSE)</f>
        <v>0</v>
      </c>
      <c r="BE215" s="1322">
        <f>BE206*VLOOKUP('IV. LCOE, Baseline Energy Mix'!BE$13,'VII. Additional Data'!$C$17:$V$66,7, FALSE)</f>
        <v>0</v>
      </c>
    </row>
    <row r="216" spans="2:57" outlineLevel="1" x14ac:dyDescent="0.25">
      <c r="B216" s="331"/>
      <c r="C216" s="332" t="s">
        <v>160</v>
      </c>
      <c r="D216" s="332"/>
      <c r="E216" s="335"/>
      <c r="F216" s="335"/>
      <c r="G216" s="332"/>
      <c r="H216" s="1321">
        <f>H206*'II. Inputs, Baseline Energy Mix'!$R$98*(1+'II. Inputs, Baseline Energy Mix'!$R$99)^('IV. LCOE, Baseline Energy Mix'!H$13-1)</f>
        <v>0</v>
      </c>
      <c r="I216" s="1321">
        <f>I206*'II. Inputs, Baseline Energy Mix'!$R$98*(1+'II. Inputs, Baseline Energy Mix'!$R$99)^('IV. LCOE, Baseline Energy Mix'!I$13-1)</f>
        <v>0</v>
      </c>
      <c r="J216" s="1321">
        <f>J206*'II. Inputs, Baseline Energy Mix'!$R$98*(1+'II. Inputs, Baseline Energy Mix'!$R$99)^('IV. LCOE, Baseline Energy Mix'!J$13-1)</f>
        <v>0</v>
      </c>
      <c r="K216" s="1321">
        <f>K206*'II. Inputs, Baseline Energy Mix'!$R$98*(1+'II. Inputs, Baseline Energy Mix'!$R$99)^('IV. LCOE, Baseline Energy Mix'!K$13-1)</f>
        <v>0</v>
      </c>
      <c r="L216" s="1321">
        <f>L206*'II. Inputs, Baseline Energy Mix'!$R$98*(1+'II. Inputs, Baseline Energy Mix'!$R$99)^('IV. LCOE, Baseline Energy Mix'!L$13-1)</f>
        <v>0</v>
      </c>
      <c r="M216" s="1321">
        <f>M206*'II. Inputs, Baseline Energy Mix'!$R$98*(1+'II. Inputs, Baseline Energy Mix'!$R$99)^('IV. LCOE, Baseline Energy Mix'!M$13-1)</f>
        <v>0</v>
      </c>
      <c r="N216" s="1321">
        <f>N206*'II. Inputs, Baseline Energy Mix'!$R$98*(1+'II. Inputs, Baseline Energy Mix'!$R$99)^('IV. LCOE, Baseline Energy Mix'!N$13-1)</f>
        <v>0</v>
      </c>
      <c r="O216" s="1321">
        <f>O206*'II. Inputs, Baseline Energy Mix'!$R$98*(1+'II. Inputs, Baseline Energy Mix'!$R$99)^('IV. LCOE, Baseline Energy Mix'!O$13-1)</f>
        <v>0</v>
      </c>
      <c r="P216" s="1321">
        <f>P206*'II. Inputs, Baseline Energy Mix'!$R$98*(1+'II. Inputs, Baseline Energy Mix'!$R$99)^('IV. LCOE, Baseline Energy Mix'!P$13-1)</f>
        <v>0</v>
      </c>
      <c r="Q216" s="1321">
        <f>Q206*'II. Inputs, Baseline Energy Mix'!$R$98*(1+'II. Inputs, Baseline Energy Mix'!$R$99)^('IV. LCOE, Baseline Energy Mix'!Q$13-1)</f>
        <v>0</v>
      </c>
      <c r="R216" s="1321">
        <f>R206*'II. Inputs, Baseline Energy Mix'!$R$98*(1+'II. Inputs, Baseline Energy Mix'!$R$99)^('IV. LCOE, Baseline Energy Mix'!R$13-1)</f>
        <v>0</v>
      </c>
      <c r="S216" s="1321">
        <f>S206*'II. Inputs, Baseline Energy Mix'!$R$98*(1+'II. Inputs, Baseline Energy Mix'!$R$99)^('IV. LCOE, Baseline Energy Mix'!S$13-1)</f>
        <v>0</v>
      </c>
      <c r="T216" s="1321">
        <f>T206*'II. Inputs, Baseline Energy Mix'!$R$98*(1+'II. Inputs, Baseline Energy Mix'!$R$99)^('IV. LCOE, Baseline Energy Mix'!T$13-1)</f>
        <v>0</v>
      </c>
      <c r="U216" s="1321">
        <f>U206*'II. Inputs, Baseline Energy Mix'!$R$98*(1+'II. Inputs, Baseline Energy Mix'!$R$99)^('IV. LCOE, Baseline Energy Mix'!U$13-1)</f>
        <v>0</v>
      </c>
      <c r="V216" s="1321">
        <f>V206*'II. Inputs, Baseline Energy Mix'!$R$98*(1+'II. Inputs, Baseline Energy Mix'!$R$99)^('IV. LCOE, Baseline Energy Mix'!V$13-1)</f>
        <v>0</v>
      </c>
      <c r="W216" s="1321">
        <f>W206*'II. Inputs, Baseline Energy Mix'!$R$98*(1+'II. Inputs, Baseline Energy Mix'!$R$99)^('IV. LCOE, Baseline Energy Mix'!W$13-1)</f>
        <v>0</v>
      </c>
      <c r="X216" s="1321">
        <f>X206*'II. Inputs, Baseline Energy Mix'!$R$98*(1+'II. Inputs, Baseline Energy Mix'!$R$99)^('IV. LCOE, Baseline Energy Mix'!X$13-1)</f>
        <v>0</v>
      </c>
      <c r="Y216" s="1321">
        <f>Y206*'II. Inputs, Baseline Energy Mix'!$R$98*(1+'II. Inputs, Baseline Energy Mix'!$R$99)^('IV. LCOE, Baseline Energy Mix'!Y$13-1)</f>
        <v>0</v>
      </c>
      <c r="Z216" s="1321">
        <f>Z206*'II. Inputs, Baseline Energy Mix'!$R$98*(1+'II. Inputs, Baseline Energy Mix'!$R$99)^('IV. LCOE, Baseline Energy Mix'!Z$13-1)</f>
        <v>0</v>
      </c>
      <c r="AA216" s="1321">
        <f>AA206*'II. Inputs, Baseline Energy Mix'!$R$98*(1+'II. Inputs, Baseline Energy Mix'!$R$99)^('IV. LCOE, Baseline Energy Mix'!AA$13-1)</f>
        <v>0</v>
      </c>
      <c r="AB216" s="1321">
        <f>AB206*'II. Inputs, Baseline Energy Mix'!$R$98*(1+'II. Inputs, Baseline Energy Mix'!$R$99)^('IV. LCOE, Baseline Energy Mix'!AB$13-1)</f>
        <v>0</v>
      </c>
      <c r="AC216" s="1321">
        <f>AC206*'II. Inputs, Baseline Energy Mix'!$R$98*(1+'II. Inputs, Baseline Energy Mix'!$R$99)^('IV. LCOE, Baseline Energy Mix'!AC$13-1)</f>
        <v>0</v>
      </c>
      <c r="AD216" s="1321">
        <f>AD206*'II. Inputs, Baseline Energy Mix'!$R$98*(1+'II. Inputs, Baseline Energy Mix'!$R$99)^('IV. LCOE, Baseline Energy Mix'!AD$13-1)</f>
        <v>0</v>
      </c>
      <c r="AE216" s="1321">
        <f>AE206*'II. Inputs, Baseline Energy Mix'!$R$98*(1+'II. Inputs, Baseline Energy Mix'!$R$99)^('IV. LCOE, Baseline Energy Mix'!AE$13-1)</f>
        <v>0</v>
      </c>
      <c r="AF216" s="1321">
        <f>AF206*'II. Inputs, Baseline Energy Mix'!$R$98*(1+'II. Inputs, Baseline Energy Mix'!$R$99)^('IV. LCOE, Baseline Energy Mix'!AF$13-1)</f>
        <v>0</v>
      </c>
      <c r="AG216" s="1321">
        <f>AG206*'II. Inputs, Baseline Energy Mix'!$R$98*(1+'II. Inputs, Baseline Energy Mix'!$R$99)^('IV. LCOE, Baseline Energy Mix'!AG$13-1)</f>
        <v>0</v>
      </c>
      <c r="AH216" s="1321">
        <f>AH206*'II. Inputs, Baseline Energy Mix'!$R$98*(1+'II. Inputs, Baseline Energy Mix'!$R$99)^('IV. LCOE, Baseline Energy Mix'!AH$13-1)</f>
        <v>0</v>
      </c>
      <c r="AI216" s="1321">
        <f>AI206*'II. Inputs, Baseline Energy Mix'!$R$98*(1+'II. Inputs, Baseline Energy Mix'!$R$99)^('IV. LCOE, Baseline Energy Mix'!AI$13-1)</f>
        <v>0</v>
      </c>
      <c r="AJ216" s="1321">
        <f>AJ206*'II. Inputs, Baseline Energy Mix'!$R$98*(1+'II. Inputs, Baseline Energy Mix'!$R$99)^('IV. LCOE, Baseline Energy Mix'!AJ$13-1)</f>
        <v>0</v>
      </c>
      <c r="AK216" s="1321">
        <f>AK206*'II. Inputs, Baseline Energy Mix'!$R$98*(1+'II. Inputs, Baseline Energy Mix'!$R$99)^('IV. LCOE, Baseline Energy Mix'!AK$13-1)</f>
        <v>0</v>
      </c>
      <c r="AL216" s="1321">
        <f>AL206*'II. Inputs, Baseline Energy Mix'!$R$98*(1+'II. Inputs, Baseline Energy Mix'!$R$99)^('IV. LCOE, Baseline Energy Mix'!AL$13-1)</f>
        <v>0</v>
      </c>
      <c r="AM216" s="1321">
        <f>AM206*'II. Inputs, Baseline Energy Mix'!$R$98*(1+'II. Inputs, Baseline Energy Mix'!$R$99)^('IV. LCOE, Baseline Energy Mix'!AM$13-1)</f>
        <v>0</v>
      </c>
      <c r="AN216" s="1321">
        <f>AN206*'II. Inputs, Baseline Energy Mix'!$R$98*(1+'II. Inputs, Baseline Energy Mix'!$R$99)^('IV. LCOE, Baseline Energy Mix'!AN$13-1)</f>
        <v>0</v>
      </c>
      <c r="AO216" s="1321">
        <f>AO206*'II. Inputs, Baseline Energy Mix'!$R$98*(1+'II. Inputs, Baseline Energy Mix'!$R$99)^('IV. LCOE, Baseline Energy Mix'!AO$13-1)</f>
        <v>0</v>
      </c>
      <c r="AP216" s="1321">
        <f>AP206*'II. Inputs, Baseline Energy Mix'!$R$98*(1+'II. Inputs, Baseline Energy Mix'!$R$99)^('IV. LCOE, Baseline Energy Mix'!AP$13-1)</f>
        <v>0</v>
      </c>
      <c r="AQ216" s="1321">
        <f>AQ206*'II. Inputs, Baseline Energy Mix'!$R$98*(1+'II. Inputs, Baseline Energy Mix'!$R$99)^('IV. LCOE, Baseline Energy Mix'!AQ$13-1)</f>
        <v>0</v>
      </c>
      <c r="AR216" s="1321">
        <f>AR206*'II. Inputs, Baseline Energy Mix'!$R$98*(1+'II. Inputs, Baseline Energy Mix'!$R$99)^('IV. LCOE, Baseline Energy Mix'!AR$13-1)</f>
        <v>0</v>
      </c>
      <c r="AS216" s="1321">
        <f>AS206*'II. Inputs, Baseline Energy Mix'!$R$98*(1+'II. Inputs, Baseline Energy Mix'!$R$99)^('IV. LCOE, Baseline Energy Mix'!AS$13-1)</f>
        <v>0</v>
      </c>
      <c r="AT216" s="1321">
        <f>AT206*'II. Inputs, Baseline Energy Mix'!$R$98*(1+'II. Inputs, Baseline Energy Mix'!$R$99)^('IV. LCOE, Baseline Energy Mix'!AT$13-1)</f>
        <v>0</v>
      </c>
      <c r="AU216" s="1321">
        <f>AU206*'II. Inputs, Baseline Energy Mix'!$R$98*(1+'II. Inputs, Baseline Energy Mix'!$R$99)^('IV. LCOE, Baseline Energy Mix'!AU$13-1)</f>
        <v>0</v>
      </c>
      <c r="AV216" s="1321">
        <f>AV206*'II. Inputs, Baseline Energy Mix'!$R$98*(1+'II. Inputs, Baseline Energy Mix'!$R$99)^('IV. LCOE, Baseline Energy Mix'!AV$13-1)</f>
        <v>0</v>
      </c>
      <c r="AW216" s="1321">
        <f>AW206*'II. Inputs, Baseline Energy Mix'!$R$98*(1+'II. Inputs, Baseline Energy Mix'!$R$99)^('IV. LCOE, Baseline Energy Mix'!AW$13-1)</f>
        <v>0</v>
      </c>
      <c r="AX216" s="1321">
        <f>AX206*'II. Inputs, Baseline Energy Mix'!$R$98*(1+'II. Inputs, Baseline Energy Mix'!$R$99)^('IV. LCOE, Baseline Energy Mix'!AX$13-1)</f>
        <v>0</v>
      </c>
      <c r="AY216" s="1321">
        <f>AY206*'II. Inputs, Baseline Energy Mix'!$R$98*(1+'II. Inputs, Baseline Energy Mix'!$R$99)^('IV. LCOE, Baseline Energy Mix'!AY$13-1)</f>
        <v>0</v>
      </c>
      <c r="AZ216" s="1321">
        <f>AZ206*'II. Inputs, Baseline Energy Mix'!$R$98*(1+'II. Inputs, Baseline Energy Mix'!$R$99)^('IV. LCOE, Baseline Energy Mix'!AZ$13-1)</f>
        <v>0</v>
      </c>
      <c r="BA216" s="1321">
        <f>BA206*'II. Inputs, Baseline Energy Mix'!$R$98*(1+'II. Inputs, Baseline Energy Mix'!$R$99)^('IV. LCOE, Baseline Energy Mix'!BA$13-1)</f>
        <v>0</v>
      </c>
      <c r="BB216" s="1321">
        <f>BB206*'II. Inputs, Baseline Energy Mix'!$R$98*(1+'II. Inputs, Baseline Energy Mix'!$R$99)^('IV. LCOE, Baseline Energy Mix'!BB$13-1)</f>
        <v>0</v>
      </c>
      <c r="BC216" s="1321">
        <f>BC206*'II. Inputs, Baseline Energy Mix'!$R$98*(1+'II. Inputs, Baseline Energy Mix'!$R$99)^('IV. LCOE, Baseline Energy Mix'!BC$13-1)</f>
        <v>0</v>
      </c>
      <c r="BD216" s="1321">
        <f>BD206*'II. Inputs, Baseline Energy Mix'!$R$98*(1+'II. Inputs, Baseline Energy Mix'!$R$99)^('IV. LCOE, Baseline Energy Mix'!BD$13-1)</f>
        <v>0</v>
      </c>
      <c r="BE216" s="1322">
        <f>BE206*'II. Inputs, Baseline Energy Mix'!$R$98*(1+'II. Inputs, Baseline Energy Mix'!$R$99)^('IV. LCOE, Baseline Energy Mix'!BE$13-1)</f>
        <v>0</v>
      </c>
    </row>
    <row r="217" spans="2:57" outlineLevel="1" x14ac:dyDescent="0.25">
      <c r="B217" s="331"/>
      <c r="C217" s="332" t="s">
        <v>161</v>
      </c>
      <c r="D217" s="332"/>
      <c r="E217" s="335"/>
      <c r="F217" s="335"/>
      <c r="G217" s="332"/>
      <c r="H217" s="1321">
        <f xml:space="preserve"> H206*VLOOKUP('IV. LCOE, Baseline Energy Mix'!H$13,'VII. Additional Data'!$C$17:$V$66,13, FALSE)</f>
        <v>0</v>
      </c>
      <c r="I217" s="1321">
        <f xml:space="preserve"> I206*VLOOKUP('IV. LCOE, Baseline Energy Mix'!I$13,'VII. Additional Data'!$C$17:$V$66,13, FALSE)</f>
        <v>0</v>
      </c>
      <c r="J217" s="1321">
        <f xml:space="preserve"> J206*VLOOKUP('IV. LCOE, Baseline Energy Mix'!J$13,'VII. Additional Data'!$C$17:$V$66,13, FALSE)</f>
        <v>0</v>
      </c>
      <c r="K217" s="1321">
        <f xml:space="preserve"> K206*VLOOKUP('IV. LCOE, Baseline Energy Mix'!K$13,'VII. Additional Data'!$C$17:$V$66,13, FALSE)</f>
        <v>0</v>
      </c>
      <c r="L217" s="1321">
        <f xml:space="preserve"> L206*VLOOKUP('IV. LCOE, Baseline Energy Mix'!L$13,'VII. Additional Data'!$C$17:$V$66,13, FALSE)</f>
        <v>0</v>
      </c>
      <c r="M217" s="1321">
        <f xml:space="preserve"> M206*VLOOKUP('IV. LCOE, Baseline Energy Mix'!M$13,'VII. Additional Data'!$C$17:$V$66,13, FALSE)</f>
        <v>0</v>
      </c>
      <c r="N217" s="1321">
        <f xml:space="preserve"> N206*VLOOKUP('IV. LCOE, Baseline Energy Mix'!N$13,'VII. Additional Data'!$C$17:$V$66,13, FALSE)</f>
        <v>0</v>
      </c>
      <c r="O217" s="1321">
        <f xml:space="preserve"> O206*VLOOKUP('IV. LCOE, Baseline Energy Mix'!O$13,'VII. Additional Data'!$C$17:$V$66,13, FALSE)</f>
        <v>0</v>
      </c>
      <c r="P217" s="1321">
        <f xml:space="preserve"> P206*VLOOKUP('IV. LCOE, Baseline Energy Mix'!P$13,'VII. Additional Data'!$C$17:$V$66,13, FALSE)</f>
        <v>0</v>
      </c>
      <c r="Q217" s="1321">
        <f xml:space="preserve"> Q206*VLOOKUP('IV. LCOE, Baseline Energy Mix'!Q$13,'VII. Additional Data'!$C$17:$V$66,13, FALSE)</f>
        <v>0</v>
      </c>
      <c r="R217" s="1321">
        <f xml:space="preserve"> R206*VLOOKUP('IV. LCOE, Baseline Energy Mix'!R$13,'VII. Additional Data'!$C$17:$V$66,13, FALSE)</f>
        <v>0</v>
      </c>
      <c r="S217" s="1321">
        <f xml:space="preserve"> S206*VLOOKUP('IV. LCOE, Baseline Energy Mix'!S$13,'VII. Additional Data'!$C$17:$V$66,13, FALSE)</f>
        <v>0</v>
      </c>
      <c r="T217" s="1321">
        <f xml:space="preserve"> T206*VLOOKUP('IV. LCOE, Baseline Energy Mix'!T$13,'VII. Additional Data'!$C$17:$V$66,13, FALSE)</f>
        <v>0</v>
      </c>
      <c r="U217" s="1321">
        <f xml:space="preserve"> U206*VLOOKUP('IV. LCOE, Baseline Energy Mix'!U$13,'VII. Additional Data'!$C$17:$V$66,13, FALSE)</f>
        <v>0</v>
      </c>
      <c r="V217" s="1321">
        <f xml:space="preserve"> V206*VLOOKUP('IV. LCOE, Baseline Energy Mix'!V$13,'VII. Additional Data'!$C$17:$V$66,13, FALSE)</f>
        <v>0</v>
      </c>
      <c r="W217" s="1321">
        <f xml:space="preserve"> W206*VLOOKUP('IV. LCOE, Baseline Energy Mix'!W$13,'VII. Additional Data'!$C$17:$V$66,13, FALSE)</f>
        <v>0</v>
      </c>
      <c r="X217" s="1321">
        <f xml:space="preserve"> X206*VLOOKUP('IV. LCOE, Baseline Energy Mix'!X$13,'VII. Additional Data'!$C$17:$V$66,13, FALSE)</f>
        <v>0</v>
      </c>
      <c r="Y217" s="1321">
        <f xml:space="preserve"> Y206*VLOOKUP('IV. LCOE, Baseline Energy Mix'!Y$13,'VII. Additional Data'!$C$17:$V$66,13, FALSE)</f>
        <v>0</v>
      </c>
      <c r="Z217" s="1321">
        <f xml:space="preserve"> Z206*VLOOKUP('IV. LCOE, Baseline Energy Mix'!Z$13,'VII. Additional Data'!$C$17:$V$66,13, FALSE)</f>
        <v>0</v>
      </c>
      <c r="AA217" s="1321">
        <f xml:space="preserve"> AA206*VLOOKUP('IV. LCOE, Baseline Energy Mix'!AA$13,'VII. Additional Data'!$C$17:$V$66,13, FALSE)</f>
        <v>0</v>
      </c>
      <c r="AB217" s="1321">
        <f xml:space="preserve"> AB206*VLOOKUP('IV. LCOE, Baseline Energy Mix'!AB$13,'VII. Additional Data'!$C$17:$V$66,13, FALSE)</f>
        <v>0</v>
      </c>
      <c r="AC217" s="1321">
        <f xml:space="preserve"> AC206*VLOOKUP('IV. LCOE, Baseline Energy Mix'!AC$13,'VII. Additional Data'!$C$17:$V$66,13, FALSE)</f>
        <v>0</v>
      </c>
      <c r="AD217" s="1321">
        <f xml:space="preserve"> AD206*VLOOKUP('IV. LCOE, Baseline Energy Mix'!AD$13,'VII. Additional Data'!$C$17:$V$66,13, FALSE)</f>
        <v>0</v>
      </c>
      <c r="AE217" s="1321">
        <f xml:space="preserve"> AE206*VLOOKUP('IV. LCOE, Baseline Energy Mix'!AE$13,'VII. Additional Data'!$C$17:$V$66,13, FALSE)</f>
        <v>0</v>
      </c>
      <c r="AF217" s="1321">
        <f xml:space="preserve"> AF206*VLOOKUP('IV. LCOE, Baseline Energy Mix'!AF$13,'VII. Additional Data'!$C$17:$V$66,13, FALSE)</f>
        <v>0</v>
      </c>
      <c r="AG217" s="1321">
        <f xml:space="preserve"> AG206*VLOOKUP('IV. LCOE, Baseline Energy Mix'!AG$13,'VII. Additional Data'!$C$17:$V$66,13, FALSE)</f>
        <v>0</v>
      </c>
      <c r="AH217" s="1321">
        <f xml:space="preserve"> AH206*VLOOKUP('IV. LCOE, Baseline Energy Mix'!AH$13,'VII. Additional Data'!$C$17:$V$66,13, FALSE)</f>
        <v>0</v>
      </c>
      <c r="AI217" s="1321">
        <f xml:space="preserve"> AI206*VLOOKUP('IV. LCOE, Baseline Energy Mix'!AI$13,'VII. Additional Data'!$C$17:$V$66,13, FALSE)</f>
        <v>0</v>
      </c>
      <c r="AJ217" s="1321">
        <f xml:space="preserve"> AJ206*VLOOKUP('IV. LCOE, Baseline Energy Mix'!AJ$13,'VII. Additional Data'!$C$17:$V$66,13, FALSE)</f>
        <v>0</v>
      </c>
      <c r="AK217" s="1321">
        <f xml:space="preserve"> AK206*VLOOKUP('IV. LCOE, Baseline Energy Mix'!AK$13,'VII. Additional Data'!$C$17:$V$66,13, FALSE)</f>
        <v>0</v>
      </c>
      <c r="AL217" s="1321">
        <f xml:space="preserve"> AL206*VLOOKUP('IV. LCOE, Baseline Energy Mix'!AL$13,'VII. Additional Data'!$C$17:$V$66,13, FALSE)</f>
        <v>0</v>
      </c>
      <c r="AM217" s="1321">
        <f xml:space="preserve"> AM206*VLOOKUP('IV. LCOE, Baseline Energy Mix'!AM$13,'VII. Additional Data'!$C$17:$V$66,13, FALSE)</f>
        <v>0</v>
      </c>
      <c r="AN217" s="1321">
        <f xml:space="preserve"> AN206*VLOOKUP('IV. LCOE, Baseline Energy Mix'!AN$13,'VII. Additional Data'!$C$17:$V$66,13, FALSE)</f>
        <v>0</v>
      </c>
      <c r="AO217" s="1321">
        <f xml:space="preserve"> AO206*VLOOKUP('IV. LCOE, Baseline Energy Mix'!AO$13,'VII. Additional Data'!$C$17:$V$66,13, FALSE)</f>
        <v>0</v>
      </c>
      <c r="AP217" s="1321">
        <f xml:space="preserve"> AP206*VLOOKUP('IV. LCOE, Baseline Energy Mix'!AP$13,'VII. Additional Data'!$C$17:$V$66,13, FALSE)</f>
        <v>0</v>
      </c>
      <c r="AQ217" s="1321">
        <f xml:space="preserve"> AQ206*VLOOKUP('IV. LCOE, Baseline Energy Mix'!AQ$13,'VII. Additional Data'!$C$17:$V$66,13, FALSE)</f>
        <v>0</v>
      </c>
      <c r="AR217" s="1321">
        <f xml:space="preserve"> AR206*VLOOKUP('IV. LCOE, Baseline Energy Mix'!AR$13,'VII. Additional Data'!$C$17:$V$66,13, FALSE)</f>
        <v>0</v>
      </c>
      <c r="AS217" s="1321">
        <f xml:space="preserve"> AS206*VLOOKUP('IV. LCOE, Baseline Energy Mix'!AS$13,'VII. Additional Data'!$C$17:$V$66,13, FALSE)</f>
        <v>0</v>
      </c>
      <c r="AT217" s="1321">
        <f xml:space="preserve"> AT206*VLOOKUP('IV. LCOE, Baseline Energy Mix'!AT$13,'VII. Additional Data'!$C$17:$V$66,13, FALSE)</f>
        <v>0</v>
      </c>
      <c r="AU217" s="1321">
        <f xml:space="preserve"> AU206*VLOOKUP('IV. LCOE, Baseline Energy Mix'!AU$13,'VII. Additional Data'!$C$17:$V$66,13, FALSE)</f>
        <v>0</v>
      </c>
      <c r="AV217" s="1321">
        <f xml:space="preserve"> AV206*VLOOKUP('IV. LCOE, Baseline Energy Mix'!AV$13,'VII. Additional Data'!$C$17:$V$66,13, FALSE)</f>
        <v>0</v>
      </c>
      <c r="AW217" s="1321">
        <f xml:space="preserve"> AW206*VLOOKUP('IV. LCOE, Baseline Energy Mix'!AW$13,'VII. Additional Data'!$C$17:$V$66,13, FALSE)</f>
        <v>0</v>
      </c>
      <c r="AX217" s="1321">
        <f xml:space="preserve"> AX206*VLOOKUP('IV. LCOE, Baseline Energy Mix'!AX$13,'VII. Additional Data'!$C$17:$V$66,13, FALSE)</f>
        <v>0</v>
      </c>
      <c r="AY217" s="1321">
        <f xml:space="preserve"> AY206*VLOOKUP('IV. LCOE, Baseline Energy Mix'!AY$13,'VII. Additional Data'!$C$17:$V$66,13, FALSE)</f>
        <v>0</v>
      </c>
      <c r="AZ217" s="1321">
        <f xml:space="preserve"> AZ206*VLOOKUP('IV. LCOE, Baseline Energy Mix'!AZ$13,'VII. Additional Data'!$C$17:$V$66,13, FALSE)</f>
        <v>0</v>
      </c>
      <c r="BA217" s="1321">
        <f xml:space="preserve"> BA206*VLOOKUP('IV. LCOE, Baseline Energy Mix'!BA$13,'VII. Additional Data'!$C$17:$V$66,13, FALSE)</f>
        <v>0</v>
      </c>
      <c r="BB217" s="1321">
        <f xml:space="preserve"> BB206*VLOOKUP('IV. LCOE, Baseline Energy Mix'!BB$13,'VII. Additional Data'!$C$17:$V$66,13, FALSE)</f>
        <v>0</v>
      </c>
      <c r="BC217" s="1321">
        <f xml:space="preserve"> BC206*VLOOKUP('IV. LCOE, Baseline Energy Mix'!BC$13,'VII. Additional Data'!$C$17:$V$66,13, FALSE)</f>
        <v>0</v>
      </c>
      <c r="BD217" s="1321">
        <f xml:space="preserve"> BD206*VLOOKUP('IV. LCOE, Baseline Energy Mix'!BD$13,'VII. Additional Data'!$C$17:$V$66,13, FALSE)</f>
        <v>0</v>
      </c>
      <c r="BE217" s="1322">
        <f xml:space="preserve"> BE206*VLOOKUP('IV. LCOE, Baseline Energy Mix'!BE$13,'VII. Additional Data'!$C$17:$V$66,13, FALSE)</f>
        <v>0</v>
      </c>
    </row>
    <row r="218" spans="2:57" outlineLevel="1" x14ac:dyDescent="0.25">
      <c r="B218" s="331"/>
      <c r="C218" s="332" t="s">
        <v>162</v>
      </c>
      <c r="D218" s="332"/>
      <c r="E218" s="335"/>
      <c r="F218" s="335"/>
      <c r="G218" s="332"/>
      <c r="H218" s="1321">
        <f xml:space="preserve"> H206*VLOOKUP('IV. LCOE, Baseline Energy Mix'!H$13,'VII. Additional Data'!$C$17:$V$66,19, FALSE)</f>
        <v>58.300068493654962</v>
      </c>
      <c r="I218" s="1321">
        <f xml:space="preserve"> I206*VLOOKUP('IV. LCOE, Baseline Energy Mix'!I$13,'VII. Additional Data'!$C$17:$V$66,19, FALSE)</f>
        <v>59.505102740482442</v>
      </c>
      <c r="J218" s="1321">
        <f xml:space="preserve"> J206*VLOOKUP('IV. LCOE, Baseline Energy Mix'!J$13,'VII. Additional Data'!$C$17:$V$66,19, FALSE)</f>
        <v>60.710136987309916</v>
      </c>
      <c r="K218" s="1321">
        <f xml:space="preserve"> K206*VLOOKUP('IV. LCOE, Baseline Energy Mix'!K$13,'VII. Additional Data'!$C$17:$V$66,19, FALSE)</f>
        <v>61.915171234137397</v>
      </c>
      <c r="L218" s="1321">
        <f xml:space="preserve"> L206*VLOOKUP('IV. LCOE, Baseline Energy Mix'!L$13,'VII. Additional Data'!$C$17:$V$66,19, FALSE)</f>
        <v>63.120205480964877</v>
      </c>
      <c r="M218" s="1321">
        <f xml:space="preserve"> M206*VLOOKUP('IV. LCOE, Baseline Energy Mix'!M$13,'VII. Additional Data'!$C$17:$V$66,19, FALSE)</f>
        <v>64.325239727792365</v>
      </c>
      <c r="N218" s="1321">
        <f xml:space="preserve"> N206*VLOOKUP('IV. LCOE, Baseline Energy Mix'!N$13,'VII. Additional Data'!$C$17:$V$66,19, FALSE)</f>
        <v>65.530273974619831</v>
      </c>
      <c r="O218" s="1321">
        <f xml:space="preserve"> O206*VLOOKUP('IV. LCOE, Baseline Energy Mix'!O$13,'VII. Additional Data'!$C$17:$V$66,19, FALSE)</f>
        <v>66.735308221447312</v>
      </c>
      <c r="P218" s="1321">
        <f xml:space="preserve"> P206*VLOOKUP('IV. LCOE, Baseline Energy Mix'!P$13,'VII. Additional Data'!$C$17:$V$66,19, FALSE)</f>
        <v>67.940342468274793</v>
      </c>
      <c r="Q218" s="1321">
        <f xml:space="preserve"> Q206*VLOOKUP('IV. LCOE, Baseline Energy Mix'!Q$13,'VII. Additional Data'!$C$17:$V$66,19, FALSE)</f>
        <v>69.145376715102273</v>
      </c>
      <c r="R218" s="1321">
        <f xml:space="preserve"> R206*VLOOKUP('IV. LCOE, Baseline Energy Mix'!R$13,'VII. Additional Data'!$C$17:$V$66,19, FALSE)</f>
        <v>70.350410961929754</v>
      </c>
      <c r="S218" s="1321">
        <f xml:space="preserve"> S206*VLOOKUP('IV. LCOE, Baseline Energy Mix'!S$13,'VII. Additional Data'!$C$17:$V$66,19, FALSE)</f>
        <v>71.555445208757234</v>
      </c>
      <c r="T218" s="1321">
        <f xml:space="preserve"> T206*VLOOKUP('IV. LCOE, Baseline Energy Mix'!T$13,'VII. Additional Data'!$C$17:$V$66,19, FALSE)</f>
        <v>72.760479455584715</v>
      </c>
      <c r="U218" s="1321">
        <f xml:space="preserve"> U206*VLOOKUP('IV. LCOE, Baseline Energy Mix'!U$13,'VII. Additional Data'!$C$17:$V$66,19, FALSE)</f>
        <v>73.965513702412196</v>
      </c>
      <c r="V218" s="1321">
        <f xml:space="preserve"> V206*VLOOKUP('IV. LCOE, Baseline Energy Mix'!V$13,'VII. Additional Data'!$C$17:$V$66,19, FALSE)</f>
        <v>75.170547949239676</v>
      </c>
      <c r="W218" s="1321">
        <f xml:space="preserve"> W206*VLOOKUP('IV. LCOE, Baseline Energy Mix'!W$13,'VII. Additional Data'!$C$17:$V$66,19, FALSE)</f>
        <v>76.375582196067157</v>
      </c>
      <c r="X218" s="1321">
        <f xml:space="preserve"> X206*VLOOKUP('IV. LCOE, Baseline Energy Mix'!X$13,'VII. Additional Data'!$C$17:$V$66,19, FALSE)</f>
        <v>77.580616442894637</v>
      </c>
      <c r="Y218" s="1321">
        <f xml:space="preserve"> Y206*VLOOKUP('IV. LCOE, Baseline Energy Mix'!Y$13,'VII. Additional Data'!$C$17:$V$66,19, FALSE)</f>
        <v>78.785650689722104</v>
      </c>
      <c r="Z218" s="1321">
        <f xml:space="preserve"> Z206*VLOOKUP('IV. LCOE, Baseline Energy Mix'!Z$13,'VII. Additional Data'!$C$17:$V$66,19, FALSE)</f>
        <v>79.990684936549584</v>
      </c>
      <c r="AA218" s="1321">
        <f xml:space="preserve"> AA206*VLOOKUP('IV. LCOE, Baseline Energy Mix'!AA$13,'VII. Additional Data'!$C$17:$V$66,19, FALSE)</f>
        <v>81.727684531943652</v>
      </c>
      <c r="AB218" s="1321">
        <f xml:space="preserve"> AB206*VLOOKUP('IV. LCOE, Baseline Energy Mix'!AB$13,'VII. Additional Data'!$C$17:$V$66,19, FALSE)</f>
        <v>83.464684127337705</v>
      </c>
      <c r="AC218" s="1321">
        <f xml:space="preserve"> AC206*VLOOKUP('IV. LCOE, Baseline Energy Mix'!AC$13,'VII. Additional Data'!$C$17:$V$66,19, FALSE)</f>
        <v>85.201683722731758</v>
      </c>
      <c r="AD218" s="1321">
        <f xml:space="preserve"> AD206*VLOOKUP('IV. LCOE, Baseline Energy Mix'!AD$13,'VII. Additional Data'!$C$17:$V$66,19, FALSE)</f>
        <v>86.938683318125811</v>
      </c>
      <c r="AE218" s="1321">
        <f xml:space="preserve"> AE206*VLOOKUP('IV. LCOE, Baseline Energy Mix'!AE$13,'VII. Additional Data'!$C$17:$V$66,19, FALSE)</f>
        <v>88.675682913519864</v>
      </c>
      <c r="AF218" s="1321">
        <f xml:space="preserve"> AF206*VLOOKUP('IV. LCOE, Baseline Energy Mix'!AF$13,'VII. Additional Data'!$C$17:$V$66,19, FALSE)</f>
        <v>90.412682508913917</v>
      </c>
      <c r="AG218" s="1321">
        <f xml:space="preserve"> AG206*VLOOKUP('IV. LCOE, Baseline Energy Mix'!AG$13,'VII. Additional Data'!$C$17:$V$66,19, FALSE)</f>
        <v>92.149682104307971</v>
      </c>
      <c r="AH218" s="1321">
        <f xml:space="preserve"> AH206*VLOOKUP('IV. LCOE, Baseline Energy Mix'!AH$13,'VII. Additional Data'!$C$17:$V$66,19, FALSE)</f>
        <v>93.886681699702024</v>
      </c>
      <c r="AI218" s="1321">
        <f xml:space="preserve"> AI206*VLOOKUP('IV. LCOE, Baseline Energy Mix'!AI$13,'VII. Additional Data'!$C$17:$V$66,19, FALSE)</f>
        <v>95.623681295096077</v>
      </c>
      <c r="AJ218" s="1321">
        <f xml:space="preserve"> AJ206*VLOOKUP('IV. LCOE, Baseline Energy Mix'!AJ$13,'VII. Additional Data'!$C$17:$V$66,19, FALSE)</f>
        <v>97.36068089049013</v>
      </c>
      <c r="AK218" s="1321">
        <f xml:space="preserve"> AK206*VLOOKUP('IV. LCOE, Baseline Energy Mix'!AK$13,'VII. Additional Data'!$C$17:$V$66,19, FALSE)</f>
        <v>99.097680485884183</v>
      </c>
      <c r="AL218" s="1321">
        <f xml:space="preserve"> AL206*VLOOKUP('IV. LCOE, Baseline Energy Mix'!AL$13,'VII. Additional Data'!$C$17:$V$66,19, FALSE)</f>
        <v>0</v>
      </c>
      <c r="AM218" s="1321">
        <f xml:space="preserve"> AM206*VLOOKUP('IV. LCOE, Baseline Energy Mix'!AM$13,'VII. Additional Data'!$C$17:$V$66,19, FALSE)</f>
        <v>0</v>
      </c>
      <c r="AN218" s="1321">
        <f xml:space="preserve"> AN206*VLOOKUP('IV. LCOE, Baseline Energy Mix'!AN$13,'VII. Additional Data'!$C$17:$V$66,19, FALSE)</f>
        <v>0</v>
      </c>
      <c r="AO218" s="1321">
        <f xml:space="preserve"> AO206*VLOOKUP('IV. LCOE, Baseline Energy Mix'!AO$13,'VII. Additional Data'!$C$17:$V$66,19, FALSE)</f>
        <v>0</v>
      </c>
      <c r="AP218" s="1321">
        <f xml:space="preserve"> AP206*VLOOKUP('IV. LCOE, Baseline Energy Mix'!AP$13,'VII. Additional Data'!$C$17:$V$66,19, FALSE)</f>
        <v>0</v>
      </c>
      <c r="AQ218" s="1321">
        <f xml:space="preserve"> AQ206*VLOOKUP('IV. LCOE, Baseline Energy Mix'!AQ$13,'VII. Additional Data'!$C$17:$V$66,19, FALSE)</f>
        <v>0</v>
      </c>
      <c r="AR218" s="1321">
        <f xml:space="preserve"> AR206*VLOOKUP('IV. LCOE, Baseline Energy Mix'!AR$13,'VII. Additional Data'!$C$17:$V$66,19, FALSE)</f>
        <v>0</v>
      </c>
      <c r="AS218" s="1321">
        <f xml:space="preserve"> AS206*VLOOKUP('IV. LCOE, Baseline Energy Mix'!AS$13,'VII. Additional Data'!$C$17:$V$66,19, FALSE)</f>
        <v>0</v>
      </c>
      <c r="AT218" s="1321">
        <f xml:space="preserve"> AT206*VLOOKUP('IV. LCOE, Baseline Energy Mix'!AT$13,'VII. Additional Data'!$C$17:$V$66,19, FALSE)</f>
        <v>0</v>
      </c>
      <c r="AU218" s="1321">
        <f xml:space="preserve"> AU206*VLOOKUP('IV. LCOE, Baseline Energy Mix'!AU$13,'VII. Additional Data'!$C$17:$V$66,19, FALSE)</f>
        <v>0</v>
      </c>
      <c r="AV218" s="1321">
        <f xml:space="preserve"> AV206*VLOOKUP('IV. LCOE, Baseline Energy Mix'!AV$13,'VII. Additional Data'!$C$17:$V$66,19, FALSE)</f>
        <v>0</v>
      </c>
      <c r="AW218" s="1321">
        <f xml:space="preserve"> AW206*VLOOKUP('IV. LCOE, Baseline Energy Mix'!AW$13,'VII. Additional Data'!$C$17:$V$66,19, FALSE)</f>
        <v>0</v>
      </c>
      <c r="AX218" s="1321">
        <f xml:space="preserve"> AX206*VLOOKUP('IV. LCOE, Baseline Energy Mix'!AX$13,'VII. Additional Data'!$C$17:$V$66,19, FALSE)</f>
        <v>0</v>
      </c>
      <c r="AY218" s="1321">
        <f xml:space="preserve"> AY206*VLOOKUP('IV. LCOE, Baseline Energy Mix'!AY$13,'VII. Additional Data'!$C$17:$V$66,19, FALSE)</f>
        <v>0</v>
      </c>
      <c r="AZ218" s="1321">
        <f xml:space="preserve"> AZ206*VLOOKUP('IV. LCOE, Baseline Energy Mix'!AZ$13,'VII. Additional Data'!$C$17:$V$66,19, FALSE)</f>
        <v>0</v>
      </c>
      <c r="BA218" s="1321">
        <f xml:space="preserve"> BA206*VLOOKUP('IV. LCOE, Baseline Energy Mix'!BA$13,'VII. Additional Data'!$C$17:$V$66,19, FALSE)</f>
        <v>0</v>
      </c>
      <c r="BB218" s="1321">
        <f xml:space="preserve"> BB206*VLOOKUP('IV. LCOE, Baseline Energy Mix'!BB$13,'VII. Additional Data'!$C$17:$V$66,19, FALSE)</f>
        <v>0</v>
      </c>
      <c r="BC218" s="1321">
        <f xml:space="preserve"> BC206*VLOOKUP('IV. LCOE, Baseline Energy Mix'!BC$13,'VII. Additional Data'!$C$17:$V$66,19, FALSE)</f>
        <v>0</v>
      </c>
      <c r="BD218" s="1321">
        <f xml:space="preserve"> BD206*VLOOKUP('IV. LCOE, Baseline Energy Mix'!BD$13,'VII. Additional Data'!$C$17:$V$66,19, FALSE)</f>
        <v>0</v>
      </c>
      <c r="BE218" s="1322">
        <f xml:space="preserve"> BE206*VLOOKUP('IV. LCOE, Baseline Energy Mix'!BE$13,'VII. Additional Data'!$C$17:$V$66,19, FALSE)</f>
        <v>0</v>
      </c>
    </row>
    <row r="219" spans="2:57" outlineLevel="1" x14ac:dyDescent="0.25">
      <c r="B219" s="331"/>
      <c r="C219" s="332"/>
      <c r="D219" s="332"/>
      <c r="E219" s="335"/>
      <c r="F219" s="335"/>
      <c r="G219" s="332"/>
      <c r="H219" s="1186"/>
      <c r="I219" s="1186"/>
      <c r="J219" s="1186"/>
      <c r="K219" s="1186"/>
      <c r="L219" s="1186"/>
      <c r="M219" s="1186"/>
      <c r="N219" s="1186"/>
      <c r="O219" s="1186"/>
      <c r="P219" s="1186"/>
      <c r="Q219" s="1186"/>
      <c r="R219" s="1186"/>
      <c r="S219" s="1186"/>
      <c r="T219" s="1186"/>
      <c r="U219" s="1186"/>
      <c r="V219" s="1186"/>
      <c r="W219" s="1186"/>
      <c r="X219" s="1186"/>
      <c r="Y219" s="1186"/>
      <c r="Z219" s="1186"/>
      <c r="AA219" s="1186"/>
      <c r="AB219" s="1186"/>
      <c r="AC219" s="1186"/>
      <c r="AD219" s="1186"/>
      <c r="AE219" s="1186"/>
      <c r="AF219" s="1186"/>
      <c r="AG219" s="1186"/>
      <c r="AH219" s="1186"/>
      <c r="AI219" s="1186"/>
      <c r="AJ219" s="1186"/>
      <c r="AK219" s="1186"/>
      <c r="AL219" s="1186"/>
      <c r="AM219" s="1186"/>
      <c r="AN219" s="1186"/>
      <c r="AO219" s="1186"/>
      <c r="AP219" s="1186"/>
      <c r="AQ219" s="1186"/>
      <c r="AR219" s="1186"/>
      <c r="AS219" s="1186"/>
      <c r="AT219" s="1186"/>
      <c r="AU219" s="1186"/>
      <c r="AV219" s="1186"/>
      <c r="AW219" s="1186"/>
      <c r="AX219" s="1186"/>
      <c r="AY219" s="1186"/>
      <c r="AZ219" s="1186"/>
      <c r="BA219" s="1186"/>
      <c r="BB219" s="1186"/>
      <c r="BC219" s="1186"/>
      <c r="BD219" s="1186"/>
      <c r="BE219" s="1187"/>
    </row>
    <row r="220" spans="2:57" x14ac:dyDescent="0.25">
      <c r="B220" s="331" t="s">
        <v>138</v>
      </c>
      <c r="C220" s="332"/>
      <c r="D220" s="332"/>
      <c r="E220" s="335"/>
      <c r="F220" s="335" t="s">
        <v>22</v>
      </c>
      <c r="G220" s="342"/>
      <c r="H220" s="1323">
        <f>H214*H208*H206/'II. Inputs, Baseline Energy Mix'!$R$91</f>
        <v>0</v>
      </c>
      <c r="I220" s="1323">
        <f>I214*I208*I206/'II. Inputs, Baseline Energy Mix'!$R$91</f>
        <v>0</v>
      </c>
      <c r="J220" s="1323">
        <f>J214*J208*J206/'II. Inputs, Baseline Energy Mix'!$R$91</f>
        <v>0</v>
      </c>
      <c r="K220" s="1323">
        <f>K214*K208*K206/'II. Inputs, Baseline Energy Mix'!$R$91</f>
        <v>0</v>
      </c>
      <c r="L220" s="1323">
        <f>L214*L208*L206/'II. Inputs, Baseline Energy Mix'!$R$91</f>
        <v>0</v>
      </c>
      <c r="M220" s="1323">
        <f>M214*M208*M206/'II. Inputs, Baseline Energy Mix'!$R$91</f>
        <v>0</v>
      </c>
      <c r="N220" s="1323">
        <f>N214*N208*N206/'II. Inputs, Baseline Energy Mix'!$R$91</f>
        <v>0</v>
      </c>
      <c r="O220" s="1323">
        <f>O214*O208*O206/'II. Inputs, Baseline Energy Mix'!$R$91</f>
        <v>0</v>
      </c>
      <c r="P220" s="1323">
        <f>P214*P208*P206/'II. Inputs, Baseline Energy Mix'!$R$91</f>
        <v>0</v>
      </c>
      <c r="Q220" s="1323">
        <f>Q214*Q208*Q206/'II. Inputs, Baseline Energy Mix'!$R$91</f>
        <v>0</v>
      </c>
      <c r="R220" s="1323">
        <f>R214*R208*R206/'II. Inputs, Baseline Energy Mix'!$R$91</f>
        <v>0</v>
      </c>
      <c r="S220" s="1323">
        <f>S214*S208*S206/'II. Inputs, Baseline Energy Mix'!$R$91</f>
        <v>0</v>
      </c>
      <c r="T220" s="1323">
        <f>T214*T208*T206/'II. Inputs, Baseline Energy Mix'!$R$91</f>
        <v>0</v>
      </c>
      <c r="U220" s="1323">
        <f>U214*U208*U206/'II. Inputs, Baseline Energy Mix'!$R$91</f>
        <v>0</v>
      </c>
      <c r="V220" s="1323">
        <f>V214*V208*V206/'II. Inputs, Baseline Energy Mix'!$R$91</f>
        <v>0</v>
      </c>
      <c r="W220" s="1323">
        <f>W214*W208*W206/'II. Inputs, Baseline Energy Mix'!$R$91</f>
        <v>0</v>
      </c>
      <c r="X220" s="1323">
        <f>X214*X208*X206/'II. Inputs, Baseline Energy Mix'!$R$91</f>
        <v>0</v>
      </c>
      <c r="Y220" s="1323">
        <f>Y214*Y208*Y206/'II. Inputs, Baseline Energy Mix'!$R$91</f>
        <v>0</v>
      </c>
      <c r="Z220" s="1323">
        <f>Z214*Z208*Z206/'II. Inputs, Baseline Energy Mix'!$R$91</f>
        <v>0</v>
      </c>
      <c r="AA220" s="1323">
        <f>AA214*AA208*AA206/'II. Inputs, Baseline Energy Mix'!$R$91</f>
        <v>0</v>
      </c>
      <c r="AB220" s="1323">
        <f>AB214*AB208*AB206/'II. Inputs, Baseline Energy Mix'!$R$91</f>
        <v>0</v>
      </c>
      <c r="AC220" s="1323">
        <f>AC214*AC208*AC206/'II. Inputs, Baseline Energy Mix'!$R$91</f>
        <v>0</v>
      </c>
      <c r="AD220" s="1323">
        <f>AD214*AD208*AD206/'II. Inputs, Baseline Energy Mix'!$R$91</f>
        <v>0</v>
      </c>
      <c r="AE220" s="1323">
        <f>AE214*AE208*AE206/'II. Inputs, Baseline Energy Mix'!$R$91</f>
        <v>0</v>
      </c>
      <c r="AF220" s="1323">
        <f>AF214*AF208*AF206/'II. Inputs, Baseline Energy Mix'!$R$91</f>
        <v>0</v>
      </c>
      <c r="AG220" s="1323">
        <f>AG214*AG208*AG206/'II. Inputs, Baseline Energy Mix'!$R$91</f>
        <v>0</v>
      </c>
      <c r="AH220" s="1323">
        <f>AH214*AH208*AH206/'II. Inputs, Baseline Energy Mix'!$R$91</f>
        <v>0</v>
      </c>
      <c r="AI220" s="1323">
        <f>AI214*AI208*AI206/'II. Inputs, Baseline Energy Mix'!$R$91</f>
        <v>0</v>
      </c>
      <c r="AJ220" s="1323">
        <f>AJ214*AJ208*AJ206/'II. Inputs, Baseline Energy Mix'!$R$91</f>
        <v>0</v>
      </c>
      <c r="AK220" s="1323">
        <f>AK214*AK208*AK206/'II. Inputs, Baseline Energy Mix'!$R$91</f>
        <v>0</v>
      </c>
      <c r="AL220" s="1323">
        <f>AL214*AL208*AL206/'II. Inputs, Baseline Energy Mix'!$R$91</f>
        <v>0</v>
      </c>
      <c r="AM220" s="1323">
        <f>AM214*AM208*AM206/'II. Inputs, Baseline Energy Mix'!$R$91</f>
        <v>0</v>
      </c>
      <c r="AN220" s="1323">
        <f>AN214*AN208*AN206/'II. Inputs, Baseline Energy Mix'!$R$91</f>
        <v>0</v>
      </c>
      <c r="AO220" s="1323">
        <f>AO214*AO208*AO206/'II. Inputs, Baseline Energy Mix'!$R$91</f>
        <v>0</v>
      </c>
      <c r="AP220" s="1323">
        <f>AP214*AP208*AP206/'II. Inputs, Baseline Energy Mix'!$R$91</f>
        <v>0</v>
      </c>
      <c r="AQ220" s="1323">
        <f>AQ214*AQ208*AQ206/'II. Inputs, Baseline Energy Mix'!$R$91</f>
        <v>0</v>
      </c>
      <c r="AR220" s="1323">
        <f>AR214*AR208*AR206/'II. Inputs, Baseline Energy Mix'!$R$91</f>
        <v>0</v>
      </c>
      <c r="AS220" s="1323">
        <f>AS214*AS208*AS206/'II. Inputs, Baseline Energy Mix'!$R$91</f>
        <v>0</v>
      </c>
      <c r="AT220" s="1323">
        <f>AT214*AT208*AT206/'II. Inputs, Baseline Energy Mix'!$R$91</f>
        <v>0</v>
      </c>
      <c r="AU220" s="1323">
        <f>AU214*AU208*AU206/'II. Inputs, Baseline Energy Mix'!$R$91</f>
        <v>0</v>
      </c>
      <c r="AV220" s="1323">
        <f>AV214*AV208*AV206/'II. Inputs, Baseline Energy Mix'!$R$91</f>
        <v>0</v>
      </c>
      <c r="AW220" s="1323">
        <f>AW214*AW208*AW206/'II. Inputs, Baseline Energy Mix'!$R$91</f>
        <v>0</v>
      </c>
      <c r="AX220" s="1323">
        <f>AX214*AX208*AX206/'II. Inputs, Baseline Energy Mix'!$R$91</f>
        <v>0</v>
      </c>
      <c r="AY220" s="1323">
        <f>AY214*AY208*AY206/'II. Inputs, Baseline Energy Mix'!$R$91</f>
        <v>0</v>
      </c>
      <c r="AZ220" s="1323">
        <f>AZ214*AZ208*AZ206/'II. Inputs, Baseline Energy Mix'!$R$91</f>
        <v>0</v>
      </c>
      <c r="BA220" s="1323">
        <f>BA214*BA208*BA206/'II. Inputs, Baseline Energy Mix'!$R$91</f>
        <v>0</v>
      </c>
      <c r="BB220" s="1323">
        <f>BB214*BB208*BB206/'II. Inputs, Baseline Energy Mix'!$R$91</f>
        <v>0</v>
      </c>
      <c r="BC220" s="1323">
        <f>BC214*BC208*BC206/'II. Inputs, Baseline Energy Mix'!$R$91</f>
        <v>0</v>
      </c>
      <c r="BD220" s="1323">
        <f>BD214*BD208*BD206/'II. Inputs, Baseline Energy Mix'!$R$91</f>
        <v>0</v>
      </c>
      <c r="BE220" s="1324">
        <f>BE214*BE208*BE206/'II. Inputs, Baseline Energy Mix'!$R$91</f>
        <v>0</v>
      </c>
    </row>
    <row r="221" spans="2:57" x14ac:dyDescent="0.25">
      <c r="B221" s="331"/>
      <c r="C221" s="332"/>
      <c r="D221" s="332"/>
      <c r="E221" s="335"/>
      <c r="F221" s="335"/>
      <c r="G221" s="342"/>
      <c r="H221" s="1323"/>
      <c r="I221" s="342"/>
      <c r="J221" s="342"/>
      <c r="K221" s="342"/>
      <c r="L221" s="342"/>
      <c r="M221" s="342"/>
      <c r="N221" s="342"/>
      <c r="O221" s="342"/>
      <c r="P221" s="342"/>
      <c r="Q221" s="342"/>
      <c r="R221" s="342"/>
      <c r="S221" s="342"/>
      <c r="T221" s="342"/>
      <c r="U221" s="342"/>
      <c r="V221" s="342"/>
      <c r="W221" s="342"/>
      <c r="X221" s="342"/>
      <c r="Y221" s="342"/>
      <c r="Z221" s="342"/>
      <c r="AA221" s="342"/>
      <c r="AB221" s="342"/>
      <c r="AC221" s="342"/>
      <c r="AD221" s="342"/>
      <c r="AE221" s="342"/>
      <c r="AF221" s="342"/>
      <c r="AG221" s="342"/>
      <c r="AH221" s="342"/>
      <c r="AI221" s="342"/>
      <c r="AJ221" s="342"/>
      <c r="AK221" s="342"/>
      <c r="AL221" s="342"/>
      <c r="AM221" s="342"/>
      <c r="AN221" s="342"/>
      <c r="AO221" s="342"/>
      <c r="AP221" s="342"/>
      <c r="AQ221" s="342"/>
      <c r="AR221" s="342"/>
      <c r="AS221" s="342"/>
      <c r="AT221" s="342"/>
      <c r="AU221" s="342"/>
      <c r="AV221" s="342"/>
      <c r="AW221" s="342"/>
      <c r="AX221" s="342"/>
      <c r="AY221" s="342"/>
      <c r="AZ221" s="342"/>
      <c r="BA221" s="342"/>
      <c r="BB221" s="342"/>
      <c r="BC221" s="342"/>
      <c r="BD221" s="342"/>
      <c r="BE221" s="1325"/>
    </row>
    <row r="222" spans="2:57" x14ac:dyDescent="0.25">
      <c r="B222" s="331" t="s">
        <v>101</v>
      </c>
      <c r="C222" s="332"/>
      <c r="D222" s="332"/>
      <c r="E222" s="335"/>
      <c r="F222" s="335" t="s">
        <v>22</v>
      </c>
      <c r="G222" s="342"/>
      <c r="H222" s="342">
        <f>H832</f>
        <v>0</v>
      </c>
      <c r="I222" s="342">
        <f t="shared" ref="I222:BE222" si="72">I832</f>
        <v>0</v>
      </c>
      <c r="J222" s="342">
        <f t="shared" si="72"/>
        <v>0</v>
      </c>
      <c r="K222" s="342">
        <f t="shared" si="72"/>
        <v>0</v>
      </c>
      <c r="L222" s="342">
        <f t="shared" si="72"/>
        <v>0</v>
      </c>
      <c r="M222" s="342">
        <f t="shared" si="72"/>
        <v>0</v>
      </c>
      <c r="N222" s="342">
        <f t="shared" si="72"/>
        <v>0</v>
      </c>
      <c r="O222" s="342">
        <f t="shared" si="72"/>
        <v>0</v>
      </c>
      <c r="P222" s="342">
        <f t="shared" si="72"/>
        <v>0</v>
      </c>
      <c r="Q222" s="342">
        <f t="shared" si="72"/>
        <v>0</v>
      </c>
      <c r="R222" s="342">
        <f t="shared" si="72"/>
        <v>0</v>
      </c>
      <c r="S222" s="342">
        <f t="shared" si="72"/>
        <v>0</v>
      </c>
      <c r="T222" s="342">
        <f t="shared" si="72"/>
        <v>0</v>
      </c>
      <c r="U222" s="342">
        <f t="shared" si="72"/>
        <v>0</v>
      </c>
      <c r="V222" s="342">
        <f t="shared" si="72"/>
        <v>0</v>
      </c>
      <c r="W222" s="342">
        <f t="shared" si="72"/>
        <v>0</v>
      </c>
      <c r="X222" s="342">
        <f t="shared" si="72"/>
        <v>0</v>
      </c>
      <c r="Y222" s="342">
        <f t="shared" si="72"/>
        <v>0</v>
      </c>
      <c r="Z222" s="342">
        <f t="shared" si="72"/>
        <v>0</v>
      </c>
      <c r="AA222" s="342">
        <f t="shared" si="72"/>
        <v>0</v>
      </c>
      <c r="AB222" s="342">
        <f t="shared" si="72"/>
        <v>0</v>
      </c>
      <c r="AC222" s="342">
        <f t="shared" si="72"/>
        <v>0</v>
      </c>
      <c r="AD222" s="342">
        <f t="shared" si="72"/>
        <v>0</v>
      </c>
      <c r="AE222" s="342">
        <f t="shared" si="72"/>
        <v>0</v>
      </c>
      <c r="AF222" s="342">
        <f t="shared" si="72"/>
        <v>0</v>
      </c>
      <c r="AG222" s="342">
        <f t="shared" si="72"/>
        <v>0</v>
      </c>
      <c r="AH222" s="342">
        <f t="shared" si="72"/>
        <v>0</v>
      </c>
      <c r="AI222" s="342">
        <f t="shared" si="72"/>
        <v>0</v>
      </c>
      <c r="AJ222" s="342">
        <f t="shared" si="72"/>
        <v>0</v>
      </c>
      <c r="AK222" s="342">
        <f t="shared" si="72"/>
        <v>0</v>
      </c>
      <c r="AL222" s="342">
        <f t="shared" si="72"/>
        <v>0</v>
      </c>
      <c r="AM222" s="342">
        <f t="shared" si="72"/>
        <v>0</v>
      </c>
      <c r="AN222" s="342">
        <f t="shared" si="72"/>
        <v>0</v>
      </c>
      <c r="AO222" s="342">
        <f t="shared" si="72"/>
        <v>0</v>
      </c>
      <c r="AP222" s="342">
        <f t="shared" si="72"/>
        <v>0</v>
      </c>
      <c r="AQ222" s="342">
        <f t="shared" si="72"/>
        <v>0</v>
      </c>
      <c r="AR222" s="342">
        <f t="shared" si="72"/>
        <v>0</v>
      </c>
      <c r="AS222" s="342">
        <f t="shared" si="72"/>
        <v>0</v>
      </c>
      <c r="AT222" s="342">
        <f t="shared" si="72"/>
        <v>0</v>
      </c>
      <c r="AU222" s="342">
        <f t="shared" si="72"/>
        <v>0</v>
      </c>
      <c r="AV222" s="342">
        <f t="shared" si="72"/>
        <v>0</v>
      </c>
      <c r="AW222" s="342">
        <f t="shared" si="72"/>
        <v>0</v>
      </c>
      <c r="AX222" s="342">
        <f t="shared" si="72"/>
        <v>0</v>
      </c>
      <c r="AY222" s="342">
        <f t="shared" si="72"/>
        <v>0</v>
      </c>
      <c r="AZ222" s="342">
        <f t="shared" si="72"/>
        <v>0</v>
      </c>
      <c r="BA222" s="342">
        <f t="shared" si="72"/>
        <v>0</v>
      </c>
      <c r="BB222" s="342">
        <f t="shared" si="72"/>
        <v>0</v>
      </c>
      <c r="BC222" s="342">
        <f t="shared" si="72"/>
        <v>0</v>
      </c>
      <c r="BD222" s="342">
        <f t="shared" si="72"/>
        <v>0</v>
      </c>
      <c r="BE222" s="1325">
        <f t="shared" si="72"/>
        <v>0</v>
      </c>
    </row>
    <row r="223" spans="2:57" x14ac:dyDescent="0.25">
      <c r="B223" s="331"/>
      <c r="C223" s="332"/>
      <c r="D223" s="332"/>
      <c r="E223" s="335"/>
      <c r="F223" s="335"/>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2"/>
      <c r="AD223" s="342"/>
      <c r="AE223" s="342"/>
      <c r="AF223" s="342"/>
      <c r="AG223" s="342"/>
      <c r="AH223" s="342"/>
      <c r="AI223" s="342"/>
      <c r="AJ223" s="342"/>
      <c r="AK223" s="342"/>
      <c r="AL223" s="342"/>
      <c r="AM223" s="342"/>
      <c r="AN223" s="342"/>
      <c r="AO223" s="342"/>
      <c r="AP223" s="342"/>
      <c r="AQ223" s="342"/>
      <c r="AR223" s="342"/>
      <c r="AS223" s="342"/>
      <c r="AT223" s="342"/>
      <c r="AU223" s="342"/>
      <c r="AV223" s="342"/>
      <c r="AW223" s="342"/>
      <c r="AX223" s="342"/>
      <c r="AY223" s="342"/>
      <c r="AZ223" s="342"/>
      <c r="BA223" s="342"/>
      <c r="BB223" s="342"/>
      <c r="BC223" s="342"/>
      <c r="BD223" s="342"/>
      <c r="BE223" s="1325"/>
    </row>
    <row r="224" spans="2:57" x14ac:dyDescent="0.25">
      <c r="B224" s="331" t="s">
        <v>256</v>
      </c>
      <c r="C224" s="332"/>
      <c r="D224" s="332"/>
      <c r="E224" s="335"/>
      <c r="F224" s="335" t="s">
        <v>22</v>
      </c>
      <c r="G224" s="342"/>
      <c r="H224" s="342">
        <f>H617</f>
        <v>0</v>
      </c>
      <c r="I224" s="342">
        <f t="shared" ref="I224:BE224" si="73">I617</f>
        <v>0</v>
      </c>
      <c r="J224" s="342">
        <f t="shared" si="73"/>
        <v>0</v>
      </c>
      <c r="K224" s="342">
        <f t="shared" si="73"/>
        <v>0</v>
      </c>
      <c r="L224" s="342">
        <f t="shared" si="73"/>
        <v>0</v>
      </c>
      <c r="M224" s="342">
        <f t="shared" si="73"/>
        <v>0</v>
      </c>
      <c r="N224" s="342">
        <f t="shared" si="73"/>
        <v>0</v>
      </c>
      <c r="O224" s="342">
        <f t="shared" si="73"/>
        <v>0</v>
      </c>
      <c r="P224" s="342">
        <f t="shared" si="73"/>
        <v>0</v>
      </c>
      <c r="Q224" s="342">
        <f t="shared" si="73"/>
        <v>0</v>
      </c>
      <c r="R224" s="342">
        <f t="shared" si="73"/>
        <v>0</v>
      </c>
      <c r="S224" s="342">
        <f t="shared" si="73"/>
        <v>0</v>
      </c>
      <c r="T224" s="342">
        <f t="shared" si="73"/>
        <v>0</v>
      </c>
      <c r="U224" s="342">
        <f t="shared" si="73"/>
        <v>0</v>
      </c>
      <c r="V224" s="342">
        <f t="shared" si="73"/>
        <v>0</v>
      </c>
      <c r="W224" s="342">
        <f t="shared" si="73"/>
        <v>0</v>
      </c>
      <c r="X224" s="342">
        <f t="shared" si="73"/>
        <v>0</v>
      </c>
      <c r="Y224" s="342">
        <f t="shared" si="73"/>
        <v>0</v>
      </c>
      <c r="Z224" s="342">
        <f t="shared" si="73"/>
        <v>0</v>
      </c>
      <c r="AA224" s="342">
        <f t="shared" si="73"/>
        <v>0</v>
      </c>
      <c r="AB224" s="342">
        <f t="shared" si="73"/>
        <v>0</v>
      </c>
      <c r="AC224" s="342">
        <f t="shared" si="73"/>
        <v>0</v>
      </c>
      <c r="AD224" s="342">
        <f t="shared" si="73"/>
        <v>0</v>
      </c>
      <c r="AE224" s="342">
        <f t="shared" si="73"/>
        <v>0</v>
      </c>
      <c r="AF224" s="342">
        <f t="shared" si="73"/>
        <v>0</v>
      </c>
      <c r="AG224" s="342">
        <f t="shared" si="73"/>
        <v>0</v>
      </c>
      <c r="AH224" s="342">
        <f t="shared" si="73"/>
        <v>0</v>
      </c>
      <c r="AI224" s="342">
        <f t="shared" si="73"/>
        <v>0</v>
      </c>
      <c r="AJ224" s="342">
        <f t="shared" si="73"/>
        <v>0</v>
      </c>
      <c r="AK224" s="342">
        <f t="shared" si="73"/>
        <v>0</v>
      </c>
      <c r="AL224" s="342">
        <f t="shared" si="73"/>
        <v>0</v>
      </c>
      <c r="AM224" s="342">
        <f t="shared" si="73"/>
        <v>0</v>
      </c>
      <c r="AN224" s="342">
        <f t="shared" si="73"/>
        <v>0</v>
      </c>
      <c r="AO224" s="342">
        <f t="shared" si="73"/>
        <v>0</v>
      </c>
      <c r="AP224" s="342">
        <f t="shared" si="73"/>
        <v>0</v>
      </c>
      <c r="AQ224" s="342">
        <f t="shared" si="73"/>
        <v>0</v>
      </c>
      <c r="AR224" s="342">
        <f t="shared" si="73"/>
        <v>0</v>
      </c>
      <c r="AS224" s="342">
        <f t="shared" si="73"/>
        <v>0</v>
      </c>
      <c r="AT224" s="342">
        <f t="shared" si="73"/>
        <v>0</v>
      </c>
      <c r="AU224" s="342">
        <f t="shared" si="73"/>
        <v>0</v>
      </c>
      <c r="AV224" s="342">
        <f t="shared" si="73"/>
        <v>0</v>
      </c>
      <c r="AW224" s="342">
        <f t="shared" si="73"/>
        <v>0</v>
      </c>
      <c r="AX224" s="342">
        <f t="shared" si="73"/>
        <v>0</v>
      </c>
      <c r="AY224" s="342">
        <f t="shared" si="73"/>
        <v>0</v>
      </c>
      <c r="AZ224" s="342">
        <f t="shared" si="73"/>
        <v>0</v>
      </c>
      <c r="BA224" s="342">
        <f t="shared" si="73"/>
        <v>0</v>
      </c>
      <c r="BB224" s="342">
        <f t="shared" si="73"/>
        <v>0</v>
      </c>
      <c r="BC224" s="342">
        <f t="shared" si="73"/>
        <v>0</v>
      </c>
      <c r="BD224" s="342">
        <f t="shared" si="73"/>
        <v>0</v>
      </c>
      <c r="BE224" s="1325">
        <f t="shared" si="73"/>
        <v>0</v>
      </c>
    </row>
    <row r="225" spans="2:57" x14ac:dyDescent="0.25">
      <c r="B225" s="331" t="s">
        <v>188</v>
      </c>
      <c r="C225" s="332"/>
      <c r="D225" s="332"/>
      <c r="E225" s="335"/>
      <c r="F225" s="335" t="s">
        <v>22</v>
      </c>
      <c r="G225" s="342"/>
      <c r="H225" s="342">
        <f>H638</f>
        <v>0</v>
      </c>
      <c r="I225" s="342">
        <f t="shared" ref="I225:BE225" si="74">I638</f>
        <v>0</v>
      </c>
      <c r="J225" s="342">
        <f t="shared" si="74"/>
        <v>0</v>
      </c>
      <c r="K225" s="342">
        <f t="shared" si="74"/>
        <v>0</v>
      </c>
      <c r="L225" s="342">
        <f t="shared" si="74"/>
        <v>0</v>
      </c>
      <c r="M225" s="342">
        <f t="shared" si="74"/>
        <v>0</v>
      </c>
      <c r="N225" s="342">
        <f t="shared" si="74"/>
        <v>0</v>
      </c>
      <c r="O225" s="342">
        <f t="shared" si="74"/>
        <v>0</v>
      </c>
      <c r="P225" s="342">
        <f t="shared" si="74"/>
        <v>0</v>
      </c>
      <c r="Q225" s="342">
        <f t="shared" si="74"/>
        <v>0</v>
      </c>
      <c r="R225" s="342">
        <f t="shared" si="74"/>
        <v>0</v>
      </c>
      <c r="S225" s="342">
        <f t="shared" si="74"/>
        <v>0</v>
      </c>
      <c r="T225" s="342">
        <f t="shared" si="74"/>
        <v>0</v>
      </c>
      <c r="U225" s="342">
        <f t="shared" si="74"/>
        <v>0</v>
      </c>
      <c r="V225" s="342">
        <f t="shared" si="74"/>
        <v>0</v>
      </c>
      <c r="W225" s="342">
        <f t="shared" si="74"/>
        <v>0</v>
      </c>
      <c r="X225" s="342">
        <f t="shared" si="74"/>
        <v>0</v>
      </c>
      <c r="Y225" s="342">
        <f t="shared" si="74"/>
        <v>0</v>
      </c>
      <c r="Z225" s="342">
        <f t="shared" si="74"/>
        <v>0</v>
      </c>
      <c r="AA225" s="342">
        <f t="shared" si="74"/>
        <v>0</v>
      </c>
      <c r="AB225" s="342">
        <f t="shared" si="74"/>
        <v>0</v>
      </c>
      <c r="AC225" s="342">
        <f t="shared" si="74"/>
        <v>0</v>
      </c>
      <c r="AD225" s="342">
        <f t="shared" si="74"/>
        <v>0</v>
      </c>
      <c r="AE225" s="342">
        <f t="shared" si="74"/>
        <v>0</v>
      </c>
      <c r="AF225" s="342">
        <f t="shared" si="74"/>
        <v>0</v>
      </c>
      <c r="AG225" s="342">
        <f t="shared" si="74"/>
        <v>0</v>
      </c>
      <c r="AH225" s="342">
        <f t="shared" si="74"/>
        <v>0</v>
      </c>
      <c r="AI225" s="342">
        <f t="shared" si="74"/>
        <v>0</v>
      </c>
      <c r="AJ225" s="342">
        <f t="shared" si="74"/>
        <v>0</v>
      </c>
      <c r="AK225" s="342">
        <f t="shared" si="74"/>
        <v>0</v>
      </c>
      <c r="AL225" s="342">
        <f t="shared" si="74"/>
        <v>0</v>
      </c>
      <c r="AM225" s="342">
        <f t="shared" si="74"/>
        <v>0</v>
      </c>
      <c r="AN225" s="342">
        <f t="shared" si="74"/>
        <v>0</v>
      </c>
      <c r="AO225" s="342">
        <f t="shared" si="74"/>
        <v>0</v>
      </c>
      <c r="AP225" s="342">
        <f t="shared" si="74"/>
        <v>0</v>
      </c>
      <c r="AQ225" s="342">
        <f t="shared" si="74"/>
        <v>0</v>
      </c>
      <c r="AR225" s="342">
        <f t="shared" si="74"/>
        <v>0</v>
      </c>
      <c r="AS225" s="342">
        <f t="shared" si="74"/>
        <v>0</v>
      </c>
      <c r="AT225" s="342">
        <f t="shared" si="74"/>
        <v>0</v>
      </c>
      <c r="AU225" s="342">
        <f t="shared" si="74"/>
        <v>0</v>
      </c>
      <c r="AV225" s="342">
        <f t="shared" si="74"/>
        <v>0</v>
      </c>
      <c r="AW225" s="342">
        <f t="shared" si="74"/>
        <v>0</v>
      </c>
      <c r="AX225" s="342">
        <f t="shared" si="74"/>
        <v>0</v>
      </c>
      <c r="AY225" s="342">
        <f t="shared" si="74"/>
        <v>0</v>
      </c>
      <c r="AZ225" s="342">
        <f t="shared" si="74"/>
        <v>0</v>
      </c>
      <c r="BA225" s="342">
        <f t="shared" si="74"/>
        <v>0</v>
      </c>
      <c r="BB225" s="342">
        <f t="shared" si="74"/>
        <v>0</v>
      </c>
      <c r="BC225" s="342">
        <f t="shared" si="74"/>
        <v>0</v>
      </c>
      <c r="BD225" s="342">
        <f t="shared" si="74"/>
        <v>0</v>
      </c>
      <c r="BE225" s="1325">
        <f t="shared" si="74"/>
        <v>0</v>
      </c>
    </row>
    <row r="226" spans="2:57" x14ac:dyDescent="0.25">
      <c r="B226" s="331" t="s">
        <v>189</v>
      </c>
      <c r="C226" s="332"/>
      <c r="D226" s="332"/>
      <c r="E226" s="335"/>
      <c r="F226" s="335" t="s">
        <v>22</v>
      </c>
      <c r="G226" s="342"/>
      <c r="H226" s="342">
        <f>H659</f>
        <v>0</v>
      </c>
      <c r="I226" s="342">
        <f t="shared" ref="I226:BE226" si="75">I659</f>
        <v>0</v>
      </c>
      <c r="J226" s="342">
        <f t="shared" si="75"/>
        <v>0</v>
      </c>
      <c r="K226" s="342">
        <f t="shared" si="75"/>
        <v>0</v>
      </c>
      <c r="L226" s="342">
        <f t="shared" si="75"/>
        <v>0</v>
      </c>
      <c r="M226" s="342">
        <f t="shared" si="75"/>
        <v>0</v>
      </c>
      <c r="N226" s="342">
        <f t="shared" si="75"/>
        <v>0</v>
      </c>
      <c r="O226" s="342">
        <f t="shared" si="75"/>
        <v>0</v>
      </c>
      <c r="P226" s="342">
        <f t="shared" si="75"/>
        <v>0</v>
      </c>
      <c r="Q226" s="342">
        <f t="shared" si="75"/>
        <v>0</v>
      </c>
      <c r="R226" s="342">
        <f t="shared" si="75"/>
        <v>0</v>
      </c>
      <c r="S226" s="342">
        <f t="shared" si="75"/>
        <v>0</v>
      </c>
      <c r="T226" s="342">
        <f t="shared" si="75"/>
        <v>0</v>
      </c>
      <c r="U226" s="342">
        <f t="shared" si="75"/>
        <v>0</v>
      </c>
      <c r="V226" s="342">
        <f t="shared" si="75"/>
        <v>0</v>
      </c>
      <c r="W226" s="342">
        <f t="shared" si="75"/>
        <v>0</v>
      </c>
      <c r="X226" s="342">
        <f t="shared" si="75"/>
        <v>0</v>
      </c>
      <c r="Y226" s="342">
        <f t="shared" si="75"/>
        <v>0</v>
      </c>
      <c r="Z226" s="342">
        <f t="shared" si="75"/>
        <v>0</v>
      </c>
      <c r="AA226" s="342">
        <f t="shared" si="75"/>
        <v>0</v>
      </c>
      <c r="AB226" s="342">
        <f t="shared" si="75"/>
        <v>0</v>
      </c>
      <c r="AC226" s="342">
        <f t="shared" si="75"/>
        <v>0</v>
      </c>
      <c r="AD226" s="342">
        <f t="shared" si="75"/>
        <v>0</v>
      </c>
      <c r="AE226" s="342">
        <f t="shared" si="75"/>
        <v>0</v>
      </c>
      <c r="AF226" s="342">
        <f t="shared" si="75"/>
        <v>0</v>
      </c>
      <c r="AG226" s="342">
        <f t="shared" si="75"/>
        <v>0</v>
      </c>
      <c r="AH226" s="342">
        <f t="shared" si="75"/>
        <v>0</v>
      </c>
      <c r="AI226" s="342">
        <f t="shared" si="75"/>
        <v>0</v>
      </c>
      <c r="AJ226" s="342">
        <f t="shared" si="75"/>
        <v>0</v>
      </c>
      <c r="AK226" s="342">
        <f t="shared" si="75"/>
        <v>0</v>
      </c>
      <c r="AL226" s="342">
        <f t="shared" si="75"/>
        <v>0</v>
      </c>
      <c r="AM226" s="342">
        <f t="shared" si="75"/>
        <v>0</v>
      </c>
      <c r="AN226" s="342">
        <f t="shared" si="75"/>
        <v>0</v>
      </c>
      <c r="AO226" s="342">
        <f t="shared" si="75"/>
        <v>0</v>
      </c>
      <c r="AP226" s="342">
        <f t="shared" si="75"/>
        <v>0</v>
      </c>
      <c r="AQ226" s="342">
        <f t="shared" si="75"/>
        <v>0</v>
      </c>
      <c r="AR226" s="342">
        <f t="shared" si="75"/>
        <v>0</v>
      </c>
      <c r="AS226" s="342">
        <f t="shared" si="75"/>
        <v>0</v>
      </c>
      <c r="AT226" s="342">
        <f t="shared" si="75"/>
        <v>0</v>
      </c>
      <c r="AU226" s="342">
        <f t="shared" si="75"/>
        <v>0</v>
      </c>
      <c r="AV226" s="342">
        <f t="shared" si="75"/>
        <v>0</v>
      </c>
      <c r="AW226" s="342">
        <f t="shared" si="75"/>
        <v>0</v>
      </c>
      <c r="AX226" s="342">
        <f t="shared" si="75"/>
        <v>0</v>
      </c>
      <c r="AY226" s="342">
        <f t="shared" si="75"/>
        <v>0</v>
      </c>
      <c r="AZ226" s="342">
        <f t="shared" si="75"/>
        <v>0</v>
      </c>
      <c r="BA226" s="342">
        <f t="shared" si="75"/>
        <v>0</v>
      </c>
      <c r="BB226" s="342">
        <f t="shared" si="75"/>
        <v>0</v>
      </c>
      <c r="BC226" s="342">
        <f t="shared" si="75"/>
        <v>0</v>
      </c>
      <c r="BD226" s="342">
        <f t="shared" si="75"/>
        <v>0</v>
      </c>
      <c r="BE226" s="1325">
        <f t="shared" si="75"/>
        <v>0</v>
      </c>
    </row>
    <row r="227" spans="2:57" x14ac:dyDescent="0.25">
      <c r="B227" s="331" t="s">
        <v>132</v>
      </c>
      <c r="C227" s="332"/>
      <c r="D227" s="332"/>
      <c r="E227" s="335"/>
      <c r="F227" s="335" t="s">
        <v>22</v>
      </c>
      <c r="G227" s="342"/>
      <c r="H227" s="342">
        <f>(H628+H649+H670)</f>
        <v>0</v>
      </c>
      <c r="I227" s="342">
        <f>(I628+I649+I670)</f>
        <v>0</v>
      </c>
      <c r="J227" s="342">
        <f t="shared" ref="J227:BE227" si="76">(J628+J649+J670)</f>
        <v>0</v>
      </c>
      <c r="K227" s="342">
        <f t="shared" si="76"/>
        <v>0</v>
      </c>
      <c r="L227" s="342">
        <f t="shared" si="76"/>
        <v>0</v>
      </c>
      <c r="M227" s="342">
        <f t="shared" si="76"/>
        <v>0</v>
      </c>
      <c r="N227" s="342">
        <f t="shared" si="76"/>
        <v>0</v>
      </c>
      <c r="O227" s="342">
        <f t="shared" si="76"/>
        <v>0</v>
      </c>
      <c r="P227" s="342">
        <f t="shared" si="76"/>
        <v>0</v>
      </c>
      <c r="Q227" s="342">
        <f t="shared" si="76"/>
        <v>0</v>
      </c>
      <c r="R227" s="342">
        <f t="shared" si="76"/>
        <v>0</v>
      </c>
      <c r="S227" s="342">
        <f t="shared" si="76"/>
        <v>0</v>
      </c>
      <c r="T227" s="342">
        <f t="shared" si="76"/>
        <v>0</v>
      </c>
      <c r="U227" s="342">
        <f t="shared" si="76"/>
        <v>0</v>
      </c>
      <c r="V227" s="342">
        <f t="shared" si="76"/>
        <v>0</v>
      </c>
      <c r="W227" s="342">
        <f t="shared" si="76"/>
        <v>0</v>
      </c>
      <c r="X227" s="342">
        <f t="shared" si="76"/>
        <v>0</v>
      </c>
      <c r="Y227" s="342">
        <f t="shared" si="76"/>
        <v>0</v>
      </c>
      <c r="Z227" s="342">
        <f t="shared" si="76"/>
        <v>0</v>
      </c>
      <c r="AA227" s="342">
        <f t="shared" si="76"/>
        <v>0</v>
      </c>
      <c r="AB227" s="342">
        <f t="shared" si="76"/>
        <v>0</v>
      </c>
      <c r="AC227" s="342">
        <f t="shared" si="76"/>
        <v>0</v>
      </c>
      <c r="AD227" s="342">
        <f t="shared" si="76"/>
        <v>0</v>
      </c>
      <c r="AE227" s="342">
        <f t="shared" si="76"/>
        <v>0</v>
      </c>
      <c r="AF227" s="342">
        <f t="shared" si="76"/>
        <v>0</v>
      </c>
      <c r="AG227" s="342">
        <f t="shared" si="76"/>
        <v>0</v>
      </c>
      <c r="AH227" s="342">
        <f t="shared" si="76"/>
        <v>0</v>
      </c>
      <c r="AI227" s="342">
        <f t="shared" si="76"/>
        <v>0</v>
      </c>
      <c r="AJ227" s="342">
        <f t="shared" si="76"/>
        <v>0</v>
      </c>
      <c r="AK227" s="342">
        <f t="shared" si="76"/>
        <v>0</v>
      </c>
      <c r="AL227" s="342">
        <f t="shared" si="76"/>
        <v>0</v>
      </c>
      <c r="AM227" s="342">
        <f t="shared" si="76"/>
        <v>0</v>
      </c>
      <c r="AN227" s="342">
        <f t="shared" si="76"/>
        <v>0</v>
      </c>
      <c r="AO227" s="342">
        <f t="shared" si="76"/>
        <v>0</v>
      </c>
      <c r="AP227" s="342">
        <f t="shared" si="76"/>
        <v>0</v>
      </c>
      <c r="AQ227" s="342">
        <f t="shared" si="76"/>
        <v>0</v>
      </c>
      <c r="AR227" s="342">
        <f t="shared" si="76"/>
        <v>0</v>
      </c>
      <c r="AS227" s="342">
        <f t="shared" si="76"/>
        <v>0</v>
      </c>
      <c r="AT227" s="342">
        <f t="shared" si="76"/>
        <v>0</v>
      </c>
      <c r="AU227" s="342">
        <f t="shared" si="76"/>
        <v>0</v>
      </c>
      <c r="AV227" s="342">
        <f t="shared" si="76"/>
        <v>0</v>
      </c>
      <c r="AW227" s="342">
        <f t="shared" si="76"/>
        <v>0</v>
      </c>
      <c r="AX227" s="342">
        <f t="shared" si="76"/>
        <v>0</v>
      </c>
      <c r="AY227" s="342">
        <f t="shared" si="76"/>
        <v>0</v>
      </c>
      <c r="AZ227" s="342">
        <f t="shared" si="76"/>
        <v>0</v>
      </c>
      <c r="BA227" s="342">
        <f t="shared" si="76"/>
        <v>0</v>
      </c>
      <c r="BB227" s="342">
        <f t="shared" si="76"/>
        <v>0</v>
      </c>
      <c r="BC227" s="342">
        <f t="shared" si="76"/>
        <v>0</v>
      </c>
      <c r="BD227" s="342">
        <f t="shared" si="76"/>
        <v>0</v>
      </c>
      <c r="BE227" s="1325">
        <f t="shared" si="76"/>
        <v>0</v>
      </c>
    </row>
    <row r="228" spans="2:57" x14ac:dyDescent="0.25">
      <c r="B228" s="331" t="s">
        <v>190</v>
      </c>
      <c r="C228" s="332"/>
      <c r="D228" s="332"/>
      <c r="E228" s="335"/>
      <c r="F228" s="335" t="s">
        <v>22</v>
      </c>
      <c r="G228" s="342"/>
      <c r="H228" s="342">
        <f>(H650+H651)</f>
        <v>0</v>
      </c>
      <c r="I228" s="342">
        <f>(I650+I651)</f>
        <v>0</v>
      </c>
      <c r="J228" s="342">
        <f t="shared" ref="J228:BE228" si="77">(J650+J651)</f>
        <v>0</v>
      </c>
      <c r="K228" s="342">
        <f t="shared" si="77"/>
        <v>0</v>
      </c>
      <c r="L228" s="342">
        <f t="shared" si="77"/>
        <v>0</v>
      </c>
      <c r="M228" s="342">
        <f t="shared" si="77"/>
        <v>0</v>
      </c>
      <c r="N228" s="342">
        <f t="shared" si="77"/>
        <v>0</v>
      </c>
      <c r="O228" s="342">
        <f t="shared" si="77"/>
        <v>0</v>
      </c>
      <c r="P228" s="342">
        <f t="shared" si="77"/>
        <v>0</v>
      </c>
      <c r="Q228" s="342">
        <f t="shared" si="77"/>
        <v>0</v>
      </c>
      <c r="R228" s="342">
        <f t="shared" si="77"/>
        <v>0</v>
      </c>
      <c r="S228" s="342">
        <f t="shared" si="77"/>
        <v>0</v>
      </c>
      <c r="T228" s="342">
        <f t="shared" si="77"/>
        <v>0</v>
      </c>
      <c r="U228" s="342">
        <f t="shared" si="77"/>
        <v>0</v>
      </c>
      <c r="V228" s="342">
        <f t="shared" si="77"/>
        <v>0</v>
      </c>
      <c r="W228" s="342">
        <f t="shared" si="77"/>
        <v>0</v>
      </c>
      <c r="X228" s="342">
        <f t="shared" si="77"/>
        <v>0</v>
      </c>
      <c r="Y228" s="342">
        <f t="shared" si="77"/>
        <v>0</v>
      </c>
      <c r="Z228" s="342">
        <f t="shared" si="77"/>
        <v>0</v>
      </c>
      <c r="AA228" s="342">
        <f t="shared" si="77"/>
        <v>0</v>
      </c>
      <c r="AB228" s="342">
        <f t="shared" si="77"/>
        <v>0</v>
      </c>
      <c r="AC228" s="342">
        <f t="shared" si="77"/>
        <v>0</v>
      </c>
      <c r="AD228" s="342">
        <f t="shared" si="77"/>
        <v>0</v>
      </c>
      <c r="AE228" s="342">
        <f t="shared" si="77"/>
        <v>0</v>
      </c>
      <c r="AF228" s="342">
        <f t="shared" si="77"/>
        <v>0</v>
      </c>
      <c r="AG228" s="342">
        <f t="shared" si="77"/>
        <v>0</v>
      </c>
      <c r="AH228" s="342">
        <f t="shared" si="77"/>
        <v>0</v>
      </c>
      <c r="AI228" s="342">
        <f t="shared" si="77"/>
        <v>0</v>
      </c>
      <c r="AJ228" s="342">
        <f t="shared" si="77"/>
        <v>0</v>
      </c>
      <c r="AK228" s="342">
        <f t="shared" si="77"/>
        <v>0</v>
      </c>
      <c r="AL228" s="342">
        <f t="shared" si="77"/>
        <v>0</v>
      </c>
      <c r="AM228" s="342">
        <f t="shared" si="77"/>
        <v>0</v>
      </c>
      <c r="AN228" s="342">
        <f t="shared" si="77"/>
        <v>0</v>
      </c>
      <c r="AO228" s="342">
        <f t="shared" si="77"/>
        <v>0</v>
      </c>
      <c r="AP228" s="342">
        <f t="shared" si="77"/>
        <v>0</v>
      </c>
      <c r="AQ228" s="342">
        <f t="shared" si="77"/>
        <v>0</v>
      </c>
      <c r="AR228" s="342">
        <f t="shared" si="77"/>
        <v>0</v>
      </c>
      <c r="AS228" s="342">
        <f t="shared" si="77"/>
        <v>0</v>
      </c>
      <c r="AT228" s="342">
        <f t="shared" si="77"/>
        <v>0</v>
      </c>
      <c r="AU228" s="342">
        <f t="shared" si="77"/>
        <v>0</v>
      </c>
      <c r="AV228" s="342">
        <f t="shared" si="77"/>
        <v>0</v>
      </c>
      <c r="AW228" s="342">
        <f t="shared" si="77"/>
        <v>0</v>
      </c>
      <c r="AX228" s="342">
        <f t="shared" si="77"/>
        <v>0</v>
      </c>
      <c r="AY228" s="342">
        <f t="shared" si="77"/>
        <v>0</v>
      </c>
      <c r="AZ228" s="342">
        <f t="shared" si="77"/>
        <v>0</v>
      </c>
      <c r="BA228" s="342">
        <f t="shared" si="77"/>
        <v>0</v>
      </c>
      <c r="BB228" s="342">
        <f t="shared" si="77"/>
        <v>0</v>
      </c>
      <c r="BC228" s="342">
        <f t="shared" si="77"/>
        <v>0</v>
      </c>
      <c r="BD228" s="342">
        <f t="shared" si="77"/>
        <v>0</v>
      </c>
      <c r="BE228" s="1325">
        <f t="shared" si="77"/>
        <v>0</v>
      </c>
    </row>
    <row r="229" spans="2:57" x14ac:dyDescent="0.25">
      <c r="B229" s="331" t="s">
        <v>134</v>
      </c>
      <c r="C229" s="332"/>
      <c r="D229" s="332"/>
      <c r="E229" s="335"/>
      <c r="F229" s="335" t="s">
        <v>22</v>
      </c>
      <c r="G229" s="342"/>
      <c r="H229" s="342">
        <f>(H680+H681)</f>
        <v>0</v>
      </c>
      <c r="I229" s="342">
        <f>(I680+I681)</f>
        <v>0</v>
      </c>
      <c r="J229" s="342">
        <f t="shared" ref="J229:BE229" si="78">(J680+J681)</f>
        <v>0</v>
      </c>
      <c r="K229" s="342">
        <f t="shared" si="78"/>
        <v>0</v>
      </c>
      <c r="L229" s="342">
        <f t="shared" si="78"/>
        <v>0</v>
      </c>
      <c r="M229" s="342">
        <f t="shared" si="78"/>
        <v>0</v>
      </c>
      <c r="N229" s="342">
        <f t="shared" si="78"/>
        <v>0</v>
      </c>
      <c r="O229" s="342">
        <f t="shared" si="78"/>
        <v>0</v>
      </c>
      <c r="P229" s="342">
        <f t="shared" si="78"/>
        <v>0</v>
      </c>
      <c r="Q229" s="342">
        <f t="shared" si="78"/>
        <v>0</v>
      </c>
      <c r="R229" s="342">
        <f t="shared" si="78"/>
        <v>0</v>
      </c>
      <c r="S229" s="342">
        <f t="shared" si="78"/>
        <v>0</v>
      </c>
      <c r="T229" s="342">
        <f t="shared" si="78"/>
        <v>0</v>
      </c>
      <c r="U229" s="342">
        <f t="shared" si="78"/>
        <v>0</v>
      </c>
      <c r="V229" s="342">
        <f t="shared" si="78"/>
        <v>0</v>
      </c>
      <c r="W229" s="342">
        <f t="shared" si="78"/>
        <v>0</v>
      </c>
      <c r="X229" s="342">
        <f t="shared" si="78"/>
        <v>0</v>
      </c>
      <c r="Y229" s="342">
        <f t="shared" si="78"/>
        <v>0</v>
      </c>
      <c r="Z229" s="342">
        <f t="shared" si="78"/>
        <v>0</v>
      </c>
      <c r="AA229" s="342">
        <f t="shared" si="78"/>
        <v>0</v>
      </c>
      <c r="AB229" s="342">
        <f t="shared" si="78"/>
        <v>0</v>
      </c>
      <c r="AC229" s="342">
        <f t="shared" si="78"/>
        <v>0</v>
      </c>
      <c r="AD229" s="342">
        <f t="shared" si="78"/>
        <v>0</v>
      </c>
      <c r="AE229" s="342">
        <f t="shared" si="78"/>
        <v>0</v>
      </c>
      <c r="AF229" s="342">
        <f t="shared" si="78"/>
        <v>0</v>
      </c>
      <c r="AG229" s="342">
        <f t="shared" si="78"/>
        <v>0</v>
      </c>
      <c r="AH229" s="342">
        <f t="shared" si="78"/>
        <v>0</v>
      </c>
      <c r="AI229" s="342">
        <f t="shared" si="78"/>
        <v>0</v>
      </c>
      <c r="AJ229" s="342">
        <f t="shared" si="78"/>
        <v>0</v>
      </c>
      <c r="AK229" s="342">
        <f t="shared" si="78"/>
        <v>0</v>
      </c>
      <c r="AL229" s="342">
        <f t="shared" si="78"/>
        <v>0</v>
      </c>
      <c r="AM229" s="342">
        <f t="shared" si="78"/>
        <v>0</v>
      </c>
      <c r="AN229" s="342">
        <f t="shared" si="78"/>
        <v>0</v>
      </c>
      <c r="AO229" s="342">
        <f t="shared" si="78"/>
        <v>0</v>
      </c>
      <c r="AP229" s="342">
        <f t="shared" si="78"/>
        <v>0</v>
      </c>
      <c r="AQ229" s="342">
        <f t="shared" si="78"/>
        <v>0</v>
      </c>
      <c r="AR229" s="342">
        <f t="shared" si="78"/>
        <v>0</v>
      </c>
      <c r="AS229" s="342">
        <f t="shared" si="78"/>
        <v>0</v>
      </c>
      <c r="AT229" s="342">
        <f t="shared" si="78"/>
        <v>0</v>
      </c>
      <c r="AU229" s="342">
        <f t="shared" si="78"/>
        <v>0</v>
      </c>
      <c r="AV229" s="342">
        <f t="shared" si="78"/>
        <v>0</v>
      </c>
      <c r="AW229" s="342">
        <f t="shared" si="78"/>
        <v>0</v>
      </c>
      <c r="AX229" s="342">
        <f t="shared" si="78"/>
        <v>0</v>
      </c>
      <c r="AY229" s="342">
        <f t="shared" si="78"/>
        <v>0</v>
      </c>
      <c r="AZ229" s="342">
        <f t="shared" si="78"/>
        <v>0</v>
      </c>
      <c r="BA229" s="342">
        <f t="shared" si="78"/>
        <v>0</v>
      </c>
      <c r="BB229" s="342">
        <f t="shared" si="78"/>
        <v>0</v>
      </c>
      <c r="BC229" s="342">
        <f t="shared" si="78"/>
        <v>0</v>
      </c>
      <c r="BD229" s="342">
        <f t="shared" si="78"/>
        <v>0</v>
      </c>
      <c r="BE229" s="1325">
        <f t="shared" si="78"/>
        <v>0</v>
      </c>
    </row>
    <row r="230" spans="2:57" x14ac:dyDescent="0.25">
      <c r="B230" s="331"/>
      <c r="C230" s="332"/>
      <c r="D230" s="332"/>
      <c r="E230" s="335"/>
      <c r="F230" s="335"/>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342"/>
      <c r="AJ230" s="342"/>
      <c r="AK230" s="342"/>
      <c r="AL230" s="342"/>
      <c r="AM230" s="342"/>
      <c r="AN230" s="342"/>
      <c r="AO230" s="342"/>
      <c r="AP230" s="342"/>
      <c r="AQ230" s="342"/>
      <c r="AR230" s="342"/>
      <c r="AS230" s="342"/>
      <c r="AT230" s="342"/>
      <c r="AU230" s="342"/>
      <c r="AV230" s="342"/>
      <c r="AW230" s="342"/>
      <c r="AX230" s="342"/>
      <c r="AY230" s="342"/>
      <c r="AZ230" s="342"/>
      <c r="BA230" s="342"/>
      <c r="BB230" s="342"/>
      <c r="BC230" s="342"/>
      <c r="BD230" s="342"/>
      <c r="BE230" s="1325"/>
    </row>
    <row r="231" spans="2:57" x14ac:dyDescent="0.25">
      <c r="B231" s="331"/>
      <c r="C231" s="332"/>
      <c r="D231" s="332"/>
      <c r="E231" s="335"/>
      <c r="F231" s="335"/>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342"/>
      <c r="AJ231" s="342"/>
      <c r="AK231" s="342"/>
      <c r="AL231" s="342"/>
      <c r="AM231" s="342"/>
      <c r="AN231" s="342"/>
      <c r="AO231" s="342"/>
      <c r="AP231" s="342"/>
      <c r="AQ231" s="342"/>
      <c r="AR231" s="342"/>
      <c r="AS231" s="342"/>
      <c r="AT231" s="342"/>
      <c r="AU231" s="342"/>
      <c r="AV231" s="342"/>
      <c r="AW231" s="342"/>
      <c r="AX231" s="342"/>
      <c r="AY231" s="342"/>
      <c r="AZ231" s="342"/>
      <c r="BA231" s="342"/>
      <c r="BB231" s="342"/>
      <c r="BC231" s="342"/>
      <c r="BD231" s="342"/>
      <c r="BE231" s="1325"/>
    </row>
    <row r="232" spans="2:57" x14ac:dyDescent="0.25">
      <c r="B232" s="343" t="s">
        <v>133</v>
      </c>
      <c r="C232" s="332"/>
      <c r="D232" s="332"/>
      <c r="E232" s="335"/>
      <c r="F232" s="335"/>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2"/>
      <c r="AY232" s="342"/>
      <c r="AZ232" s="342"/>
      <c r="BA232" s="342"/>
      <c r="BB232" s="342"/>
      <c r="BC232" s="342"/>
      <c r="BD232" s="342"/>
      <c r="BE232" s="1325"/>
    </row>
    <row r="233" spans="2:57" x14ac:dyDescent="0.25">
      <c r="B233" s="331"/>
      <c r="C233" s="332"/>
      <c r="D233" s="332"/>
      <c r="E233" s="335"/>
      <c r="F233" s="335"/>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c r="AY233" s="342"/>
      <c r="AZ233" s="342"/>
      <c r="BA233" s="342"/>
      <c r="BB233" s="342"/>
      <c r="BC233" s="342"/>
      <c r="BD233" s="342"/>
      <c r="BE233" s="1325"/>
    </row>
    <row r="234" spans="2:57" x14ac:dyDescent="0.25">
      <c r="B234" s="331" t="str">
        <f>B212</f>
        <v>Operations &amp; Maintenance Expenses, excluding fuel cost</v>
      </c>
      <c r="C234" s="332"/>
      <c r="D234" s="332"/>
      <c r="E234" s="335"/>
      <c r="F234" s="335" t="s">
        <v>22</v>
      </c>
      <c r="G234" s="342"/>
      <c r="H234" s="342">
        <f>-H212</f>
        <v>0</v>
      </c>
      <c r="I234" s="342">
        <f t="shared" ref="I234:BE234" si="79">-I212</f>
        <v>0</v>
      </c>
      <c r="J234" s="342">
        <f t="shared" si="79"/>
        <v>0</v>
      </c>
      <c r="K234" s="342">
        <f t="shared" si="79"/>
        <v>0</v>
      </c>
      <c r="L234" s="342">
        <f t="shared" si="79"/>
        <v>0</v>
      </c>
      <c r="M234" s="342">
        <f t="shared" si="79"/>
        <v>0</v>
      </c>
      <c r="N234" s="342">
        <f t="shared" si="79"/>
        <v>0</v>
      </c>
      <c r="O234" s="342">
        <f t="shared" si="79"/>
        <v>0</v>
      </c>
      <c r="P234" s="342">
        <f t="shared" si="79"/>
        <v>0</v>
      </c>
      <c r="Q234" s="342">
        <f t="shared" si="79"/>
        <v>0</v>
      </c>
      <c r="R234" s="342">
        <f t="shared" si="79"/>
        <v>0</v>
      </c>
      <c r="S234" s="342">
        <f t="shared" si="79"/>
        <v>0</v>
      </c>
      <c r="T234" s="342">
        <f t="shared" si="79"/>
        <v>0</v>
      </c>
      <c r="U234" s="342">
        <f t="shared" si="79"/>
        <v>0</v>
      </c>
      <c r="V234" s="342">
        <f t="shared" si="79"/>
        <v>0</v>
      </c>
      <c r="W234" s="342">
        <f t="shared" si="79"/>
        <v>0</v>
      </c>
      <c r="X234" s="342">
        <f t="shared" si="79"/>
        <v>0</v>
      </c>
      <c r="Y234" s="342">
        <f t="shared" si="79"/>
        <v>0</v>
      </c>
      <c r="Z234" s="342">
        <f t="shared" si="79"/>
        <v>0</v>
      </c>
      <c r="AA234" s="342">
        <f t="shared" si="79"/>
        <v>0</v>
      </c>
      <c r="AB234" s="342">
        <f t="shared" si="79"/>
        <v>0</v>
      </c>
      <c r="AC234" s="342">
        <f t="shared" si="79"/>
        <v>0</v>
      </c>
      <c r="AD234" s="342">
        <f t="shared" si="79"/>
        <v>0</v>
      </c>
      <c r="AE234" s="342">
        <f t="shared" si="79"/>
        <v>0</v>
      </c>
      <c r="AF234" s="342">
        <f t="shared" si="79"/>
        <v>0</v>
      </c>
      <c r="AG234" s="342">
        <f t="shared" si="79"/>
        <v>0</v>
      </c>
      <c r="AH234" s="342">
        <f t="shared" si="79"/>
        <v>0</v>
      </c>
      <c r="AI234" s="342">
        <f t="shared" si="79"/>
        <v>0</v>
      </c>
      <c r="AJ234" s="342">
        <f t="shared" si="79"/>
        <v>0</v>
      </c>
      <c r="AK234" s="342">
        <f t="shared" si="79"/>
        <v>0</v>
      </c>
      <c r="AL234" s="342">
        <f t="shared" si="79"/>
        <v>0</v>
      </c>
      <c r="AM234" s="342">
        <f t="shared" si="79"/>
        <v>0</v>
      </c>
      <c r="AN234" s="342">
        <f t="shared" si="79"/>
        <v>0</v>
      </c>
      <c r="AO234" s="342">
        <f t="shared" si="79"/>
        <v>0</v>
      </c>
      <c r="AP234" s="342">
        <f t="shared" si="79"/>
        <v>0</v>
      </c>
      <c r="AQ234" s="342">
        <f t="shared" si="79"/>
        <v>0</v>
      </c>
      <c r="AR234" s="342">
        <f t="shared" si="79"/>
        <v>0</v>
      </c>
      <c r="AS234" s="342">
        <f t="shared" si="79"/>
        <v>0</v>
      </c>
      <c r="AT234" s="342">
        <f t="shared" si="79"/>
        <v>0</v>
      </c>
      <c r="AU234" s="342">
        <f t="shared" si="79"/>
        <v>0</v>
      </c>
      <c r="AV234" s="342">
        <f t="shared" si="79"/>
        <v>0</v>
      </c>
      <c r="AW234" s="342">
        <f t="shared" si="79"/>
        <v>0</v>
      </c>
      <c r="AX234" s="342">
        <f t="shared" si="79"/>
        <v>0</v>
      </c>
      <c r="AY234" s="342">
        <f t="shared" si="79"/>
        <v>0</v>
      </c>
      <c r="AZ234" s="342">
        <f t="shared" si="79"/>
        <v>0</v>
      </c>
      <c r="BA234" s="342">
        <f t="shared" si="79"/>
        <v>0</v>
      </c>
      <c r="BB234" s="342">
        <f t="shared" si="79"/>
        <v>0</v>
      </c>
      <c r="BC234" s="342">
        <f t="shared" si="79"/>
        <v>0</v>
      </c>
      <c r="BD234" s="342">
        <f t="shared" si="79"/>
        <v>0</v>
      </c>
      <c r="BE234" s="1325">
        <f t="shared" si="79"/>
        <v>0</v>
      </c>
    </row>
    <row r="235" spans="2:57" x14ac:dyDescent="0.25">
      <c r="B235" s="331" t="s">
        <v>41</v>
      </c>
      <c r="C235" s="332"/>
      <c r="D235" s="332"/>
      <c r="E235" s="335"/>
      <c r="F235" s="335" t="s">
        <v>22</v>
      </c>
      <c r="G235" s="342"/>
      <c r="H235" s="342">
        <f>-H220</f>
        <v>0</v>
      </c>
      <c r="I235" s="342">
        <f t="shared" ref="I235:BE235" si="80">-I220</f>
        <v>0</v>
      </c>
      <c r="J235" s="342">
        <f t="shared" si="80"/>
        <v>0</v>
      </c>
      <c r="K235" s="342">
        <f t="shared" si="80"/>
        <v>0</v>
      </c>
      <c r="L235" s="342">
        <f t="shared" si="80"/>
        <v>0</v>
      </c>
      <c r="M235" s="342">
        <f t="shared" si="80"/>
        <v>0</v>
      </c>
      <c r="N235" s="342">
        <f t="shared" si="80"/>
        <v>0</v>
      </c>
      <c r="O235" s="342">
        <f t="shared" si="80"/>
        <v>0</v>
      </c>
      <c r="P235" s="342">
        <f t="shared" si="80"/>
        <v>0</v>
      </c>
      <c r="Q235" s="342">
        <f t="shared" si="80"/>
        <v>0</v>
      </c>
      <c r="R235" s="342">
        <f t="shared" si="80"/>
        <v>0</v>
      </c>
      <c r="S235" s="342">
        <f t="shared" si="80"/>
        <v>0</v>
      </c>
      <c r="T235" s="342">
        <f t="shared" si="80"/>
        <v>0</v>
      </c>
      <c r="U235" s="342">
        <f t="shared" si="80"/>
        <v>0</v>
      </c>
      <c r="V235" s="342">
        <f t="shared" si="80"/>
        <v>0</v>
      </c>
      <c r="W235" s="342">
        <f t="shared" si="80"/>
        <v>0</v>
      </c>
      <c r="X235" s="342">
        <f t="shared" si="80"/>
        <v>0</v>
      </c>
      <c r="Y235" s="342">
        <f t="shared" si="80"/>
        <v>0</v>
      </c>
      <c r="Z235" s="342">
        <f t="shared" si="80"/>
        <v>0</v>
      </c>
      <c r="AA235" s="342">
        <f t="shared" si="80"/>
        <v>0</v>
      </c>
      <c r="AB235" s="342">
        <f t="shared" si="80"/>
        <v>0</v>
      </c>
      <c r="AC235" s="342">
        <f t="shared" si="80"/>
        <v>0</v>
      </c>
      <c r="AD235" s="342">
        <f t="shared" si="80"/>
        <v>0</v>
      </c>
      <c r="AE235" s="342">
        <f t="shared" si="80"/>
        <v>0</v>
      </c>
      <c r="AF235" s="342">
        <f t="shared" si="80"/>
        <v>0</v>
      </c>
      <c r="AG235" s="342">
        <f t="shared" si="80"/>
        <v>0</v>
      </c>
      <c r="AH235" s="342">
        <f t="shared" si="80"/>
        <v>0</v>
      </c>
      <c r="AI235" s="342">
        <f t="shared" si="80"/>
        <v>0</v>
      </c>
      <c r="AJ235" s="342">
        <f t="shared" si="80"/>
        <v>0</v>
      </c>
      <c r="AK235" s="342">
        <f t="shared" si="80"/>
        <v>0</v>
      </c>
      <c r="AL235" s="342">
        <f t="shared" si="80"/>
        <v>0</v>
      </c>
      <c r="AM235" s="342">
        <f t="shared" si="80"/>
        <v>0</v>
      </c>
      <c r="AN235" s="342">
        <f t="shared" si="80"/>
        <v>0</v>
      </c>
      <c r="AO235" s="342">
        <f t="shared" si="80"/>
        <v>0</v>
      </c>
      <c r="AP235" s="342">
        <f t="shared" si="80"/>
        <v>0</v>
      </c>
      <c r="AQ235" s="342">
        <f t="shared" si="80"/>
        <v>0</v>
      </c>
      <c r="AR235" s="342">
        <f t="shared" si="80"/>
        <v>0</v>
      </c>
      <c r="AS235" s="342">
        <f t="shared" si="80"/>
        <v>0</v>
      </c>
      <c r="AT235" s="342">
        <f t="shared" si="80"/>
        <v>0</v>
      </c>
      <c r="AU235" s="342">
        <f t="shared" si="80"/>
        <v>0</v>
      </c>
      <c r="AV235" s="342">
        <f t="shared" si="80"/>
        <v>0</v>
      </c>
      <c r="AW235" s="342">
        <f t="shared" si="80"/>
        <v>0</v>
      </c>
      <c r="AX235" s="342">
        <f t="shared" si="80"/>
        <v>0</v>
      </c>
      <c r="AY235" s="342">
        <f t="shared" si="80"/>
        <v>0</v>
      </c>
      <c r="AZ235" s="342">
        <f t="shared" si="80"/>
        <v>0</v>
      </c>
      <c r="BA235" s="342">
        <f t="shared" si="80"/>
        <v>0</v>
      </c>
      <c r="BB235" s="342">
        <f t="shared" si="80"/>
        <v>0</v>
      </c>
      <c r="BC235" s="342">
        <f t="shared" si="80"/>
        <v>0</v>
      </c>
      <c r="BD235" s="342">
        <f t="shared" si="80"/>
        <v>0</v>
      </c>
      <c r="BE235" s="1325">
        <f t="shared" si="80"/>
        <v>0</v>
      </c>
    </row>
    <row r="236" spans="2:57" x14ac:dyDescent="0.25">
      <c r="B236" s="331" t="str">
        <f>B227</f>
        <v xml:space="preserve">Front-end Fees </v>
      </c>
      <c r="C236" s="332"/>
      <c r="D236" s="332"/>
      <c r="E236" s="335"/>
      <c r="F236" s="335" t="s">
        <v>22</v>
      </c>
      <c r="G236" s="342"/>
      <c r="H236" s="342">
        <f>-H227</f>
        <v>0</v>
      </c>
      <c r="I236" s="342">
        <f t="shared" ref="I236:BE236" si="81">-I227</f>
        <v>0</v>
      </c>
      <c r="J236" s="342">
        <f t="shared" si="81"/>
        <v>0</v>
      </c>
      <c r="K236" s="342">
        <f t="shared" si="81"/>
        <v>0</v>
      </c>
      <c r="L236" s="342">
        <f t="shared" si="81"/>
        <v>0</v>
      </c>
      <c r="M236" s="342">
        <f t="shared" si="81"/>
        <v>0</v>
      </c>
      <c r="N236" s="342">
        <f t="shared" si="81"/>
        <v>0</v>
      </c>
      <c r="O236" s="342">
        <f t="shared" si="81"/>
        <v>0</v>
      </c>
      <c r="P236" s="342">
        <f t="shared" si="81"/>
        <v>0</v>
      </c>
      <c r="Q236" s="342">
        <f t="shared" si="81"/>
        <v>0</v>
      </c>
      <c r="R236" s="342">
        <f t="shared" si="81"/>
        <v>0</v>
      </c>
      <c r="S236" s="342">
        <f t="shared" si="81"/>
        <v>0</v>
      </c>
      <c r="T236" s="342">
        <f t="shared" si="81"/>
        <v>0</v>
      </c>
      <c r="U236" s="342">
        <f t="shared" si="81"/>
        <v>0</v>
      </c>
      <c r="V236" s="342">
        <f t="shared" si="81"/>
        <v>0</v>
      </c>
      <c r="W236" s="342">
        <f t="shared" si="81"/>
        <v>0</v>
      </c>
      <c r="X236" s="342">
        <f t="shared" si="81"/>
        <v>0</v>
      </c>
      <c r="Y236" s="342">
        <f t="shared" si="81"/>
        <v>0</v>
      </c>
      <c r="Z236" s="342">
        <f t="shared" si="81"/>
        <v>0</v>
      </c>
      <c r="AA236" s="342">
        <f t="shared" si="81"/>
        <v>0</v>
      </c>
      <c r="AB236" s="342">
        <f t="shared" si="81"/>
        <v>0</v>
      </c>
      <c r="AC236" s="342">
        <f t="shared" si="81"/>
        <v>0</v>
      </c>
      <c r="AD236" s="342">
        <f t="shared" si="81"/>
        <v>0</v>
      </c>
      <c r="AE236" s="342">
        <f t="shared" si="81"/>
        <v>0</v>
      </c>
      <c r="AF236" s="342">
        <f t="shared" si="81"/>
        <v>0</v>
      </c>
      <c r="AG236" s="342">
        <f t="shared" si="81"/>
        <v>0</v>
      </c>
      <c r="AH236" s="342">
        <f t="shared" si="81"/>
        <v>0</v>
      </c>
      <c r="AI236" s="342">
        <f t="shared" si="81"/>
        <v>0</v>
      </c>
      <c r="AJ236" s="342">
        <f t="shared" si="81"/>
        <v>0</v>
      </c>
      <c r="AK236" s="342">
        <f t="shared" si="81"/>
        <v>0</v>
      </c>
      <c r="AL236" s="342">
        <f t="shared" si="81"/>
        <v>0</v>
      </c>
      <c r="AM236" s="342">
        <f t="shared" si="81"/>
        <v>0</v>
      </c>
      <c r="AN236" s="342">
        <f t="shared" si="81"/>
        <v>0</v>
      </c>
      <c r="AO236" s="342">
        <f t="shared" si="81"/>
        <v>0</v>
      </c>
      <c r="AP236" s="342">
        <f t="shared" si="81"/>
        <v>0</v>
      </c>
      <c r="AQ236" s="342">
        <f t="shared" si="81"/>
        <v>0</v>
      </c>
      <c r="AR236" s="342">
        <f t="shared" si="81"/>
        <v>0</v>
      </c>
      <c r="AS236" s="342">
        <f t="shared" si="81"/>
        <v>0</v>
      </c>
      <c r="AT236" s="342">
        <f t="shared" si="81"/>
        <v>0</v>
      </c>
      <c r="AU236" s="342">
        <f t="shared" si="81"/>
        <v>0</v>
      </c>
      <c r="AV236" s="342">
        <f t="shared" si="81"/>
        <v>0</v>
      </c>
      <c r="AW236" s="342">
        <f t="shared" si="81"/>
        <v>0</v>
      </c>
      <c r="AX236" s="342">
        <f t="shared" si="81"/>
        <v>0</v>
      </c>
      <c r="AY236" s="342">
        <f t="shared" si="81"/>
        <v>0</v>
      </c>
      <c r="AZ236" s="342">
        <f t="shared" si="81"/>
        <v>0</v>
      </c>
      <c r="BA236" s="342">
        <f t="shared" si="81"/>
        <v>0</v>
      </c>
      <c r="BB236" s="342">
        <f t="shared" si="81"/>
        <v>0</v>
      </c>
      <c r="BC236" s="342">
        <f t="shared" si="81"/>
        <v>0</v>
      </c>
      <c r="BD236" s="342">
        <f t="shared" si="81"/>
        <v>0</v>
      </c>
      <c r="BE236" s="1325">
        <f t="shared" si="81"/>
        <v>0</v>
      </c>
    </row>
    <row r="237" spans="2:57" x14ac:dyDescent="0.25">
      <c r="B237" s="331" t="str">
        <f>B228</f>
        <v xml:space="preserve">Public Guarantee Fees </v>
      </c>
      <c r="C237" s="332"/>
      <c r="D237" s="332"/>
      <c r="E237" s="335"/>
      <c r="F237" s="335" t="s">
        <v>22</v>
      </c>
      <c r="G237" s="342"/>
      <c r="H237" s="342">
        <f>-H228</f>
        <v>0</v>
      </c>
      <c r="I237" s="342">
        <f t="shared" ref="I237:BE237" si="82">-I228</f>
        <v>0</v>
      </c>
      <c r="J237" s="342">
        <f t="shared" si="82"/>
        <v>0</v>
      </c>
      <c r="K237" s="342">
        <f t="shared" si="82"/>
        <v>0</v>
      </c>
      <c r="L237" s="342">
        <f t="shared" si="82"/>
        <v>0</v>
      </c>
      <c r="M237" s="342">
        <f t="shared" si="82"/>
        <v>0</v>
      </c>
      <c r="N237" s="342">
        <f t="shared" si="82"/>
        <v>0</v>
      </c>
      <c r="O237" s="342">
        <f t="shared" si="82"/>
        <v>0</v>
      </c>
      <c r="P237" s="342">
        <f t="shared" si="82"/>
        <v>0</v>
      </c>
      <c r="Q237" s="342">
        <f t="shared" si="82"/>
        <v>0</v>
      </c>
      <c r="R237" s="342">
        <f t="shared" si="82"/>
        <v>0</v>
      </c>
      <c r="S237" s="342">
        <f t="shared" si="82"/>
        <v>0</v>
      </c>
      <c r="T237" s="342">
        <f t="shared" si="82"/>
        <v>0</v>
      </c>
      <c r="U237" s="342">
        <f t="shared" si="82"/>
        <v>0</v>
      </c>
      <c r="V237" s="342">
        <f t="shared" si="82"/>
        <v>0</v>
      </c>
      <c r="W237" s="342">
        <f t="shared" si="82"/>
        <v>0</v>
      </c>
      <c r="X237" s="342">
        <f t="shared" si="82"/>
        <v>0</v>
      </c>
      <c r="Y237" s="342">
        <f t="shared" si="82"/>
        <v>0</v>
      </c>
      <c r="Z237" s="342">
        <f t="shared" si="82"/>
        <v>0</v>
      </c>
      <c r="AA237" s="342">
        <f t="shared" si="82"/>
        <v>0</v>
      </c>
      <c r="AB237" s="342">
        <f t="shared" si="82"/>
        <v>0</v>
      </c>
      <c r="AC237" s="342">
        <f t="shared" si="82"/>
        <v>0</v>
      </c>
      <c r="AD237" s="342">
        <f t="shared" si="82"/>
        <v>0</v>
      </c>
      <c r="AE237" s="342">
        <f t="shared" si="82"/>
        <v>0</v>
      </c>
      <c r="AF237" s="342">
        <f t="shared" si="82"/>
        <v>0</v>
      </c>
      <c r="AG237" s="342">
        <f t="shared" si="82"/>
        <v>0</v>
      </c>
      <c r="AH237" s="342">
        <f t="shared" si="82"/>
        <v>0</v>
      </c>
      <c r="AI237" s="342">
        <f t="shared" si="82"/>
        <v>0</v>
      </c>
      <c r="AJ237" s="342">
        <f t="shared" si="82"/>
        <v>0</v>
      </c>
      <c r="AK237" s="342">
        <f t="shared" si="82"/>
        <v>0</v>
      </c>
      <c r="AL237" s="342">
        <f t="shared" si="82"/>
        <v>0</v>
      </c>
      <c r="AM237" s="342">
        <f t="shared" si="82"/>
        <v>0</v>
      </c>
      <c r="AN237" s="342">
        <f t="shared" si="82"/>
        <v>0</v>
      </c>
      <c r="AO237" s="342">
        <f t="shared" si="82"/>
        <v>0</v>
      </c>
      <c r="AP237" s="342">
        <f t="shared" si="82"/>
        <v>0</v>
      </c>
      <c r="AQ237" s="342">
        <f t="shared" si="82"/>
        <v>0</v>
      </c>
      <c r="AR237" s="342">
        <f t="shared" si="82"/>
        <v>0</v>
      </c>
      <c r="AS237" s="342">
        <f t="shared" si="82"/>
        <v>0</v>
      </c>
      <c r="AT237" s="342">
        <f t="shared" si="82"/>
        <v>0</v>
      </c>
      <c r="AU237" s="342">
        <f t="shared" si="82"/>
        <v>0</v>
      </c>
      <c r="AV237" s="342">
        <f t="shared" si="82"/>
        <v>0</v>
      </c>
      <c r="AW237" s="342">
        <f t="shared" si="82"/>
        <v>0</v>
      </c>
      <c r="AX237" s="342">
        <f t="shared" si="82"/>
        <v>0</v>
      </c>
      <c r="AY237" s="342">
        <f t="shared" si="82"/>
        <v>0</v>
      </c>
      <c r="AZ237" s="342">
        <f t="shared" si="82"/>
        <v>0</v>
      </c>
      <c r="BA237" s="342">
        <f t="shared" si="82"/>
        <v>0</v>
      </c>
      <c r="BB237" s="342">
        <f t="shared" si="82"/>
        <v>0</v>
      </c>
      <c r="BC237" s="342">
        <f t="shared" si="82"/>
        <v>0</v>
      </c>
      <c r="BD237" s="342">
        <f t="shared" si="82"/>
        <v>0</v>
      </c>
      <c r="BE237" s="1325">
        <f t="shared" si="82"/>
        <v>0</v>
      </c>
    </row>
    <row r="238" spans="2:57" x14ac:dyDescent="0.25">
      <c r="B238" s="331" t="str">
        <f>B229</f>
        <v>Political Risk Insurance - Fees &amp; Annual Premium Payments</v>
      </c>
      <c r="C238" s="332"/>
      <c r="D238" s="332"/>
      <c r="E238" s="335"/>
      <c r="F238" s="335" t="s">
        <v>22</v>
      </c>
      <c r="G238" s="342"/>
      <c r="H238" s="342">
        <f>-H229</f>
        <v>0</v>
      </c>
      <c r="I238" s="342">
        <f t="shared" ref="I238:BE238" si="83">-I229</f>
        <v>0</v>
      </c>
      <c r="J238" s="342">
        <f t="shared" si="83"/>
        <v>0</v>
      </c>
      <c r="K238" s="342">
        <f t="shared" si="83"/>
        <v>0</v>
      </c>
      <c r="L238" s="342">
        <f t="shared" si="83"/>
        <v>0</v>
      </c>
      <c r="M238" s="342">
        <f t="shared" si="83"/>
        <v>0</v>
      </c>
      <c r="N238" s="342">
        <f t="shared" si="83"/>
        <v>0</v>
      </c>
      <c r="O238" s="342">
        <f t="shared" si="83"/>
        <v>0</v>
      </c>
      <c r="P238" s="342">
        <f t="shared" si="83"/>
        <v>0</v>
      </c>
      <c r="Q238" s="342">
        <f t="shared" si="83"/>
        <v>0</v>
      </c>
      <c r="R238" s="342">
        <f t="shared" si="83"/>
        <v>0</v>
      </c>
      <c r="S238" s="342">
        <f t="shared" si="83"/>
        <v>0</v>
      </c>
      <c r="T238" s="342">
        <f t="shared" si="83"/>
        <v>0</v>
      </c>
      <c r="U238" s="342">
        <f t="shared" si="83"/>
        <v>0</v>
      </c>
      <c r="V238" s="342">
        <f t="shared" si="83"/>
        <v>0</v>
      </c>
      <c r="W238" s="342">
        <f t="shared" si="83"/>
        <v>0</v>
      </c>
      <c r="X238" s="342">
        <f t="shared" si="83"/>
        <v>0</v>
      </c>
      <c r="Y238" s="342">
        <f t="shared" si="83"/>
        <v>0</v>
      </c>
      <c r="Z238" s="342">
        <f t="shared" si="83"/>
        <v>0</v>
      </c>
      <c r="AA238" s="342">
        <f t="shared" si="83"/>
        <v>0</v>
      </c>
      <c r="AB238" s="342">
        <f t="shared" si="83"/>
        <v>0</v>
      </c>
      <c r="AC238" s="342">
        <f t="shared" si="83"/>
        <v>0</v>
      </c>
      <c r="AD238" s="342">
        <f t="shared" si="83"/>
        <v>0</v>
      </c>
      <c r="AE238" s="342">
        <f t="shared" si="83"/>
        <v>0</v>
      </c>
      <c r="AF238" s="342">
        <f t="shared" si="83"/>
        <v>0</v>
      </c>
      <c r="AG238" s="342">
        <f t="shared" si="83"/>
        <v>0</v>
      </c>
      <c r="AH238" s="342">
        <f t="shared" si="83"/>
        <v>0</v>
      </c>
      <c r="AI238" s="342">
        <f t="shared" si="83"/>
        <v>0</v>
      </c>
      <c r="AJ238" s="342">
        <f t="shared" si="83"/>
        <v>0</v>
      </c>
      <c r="AK238" s="342">
        <f t="shared" si="83"/>
        <v>0</v>
      </c>
      <c r="AL238" s="342">
        <f t="shared" si="83"/>
        <v>0</v>
      </c>
      <c r="AM238" s="342">
        <f t="shared" si="83"/>
        <v>0</v>
      </c>
      <c r="AN238" s="342">
        <f t="shared" si="83"/>
        <v>0</v>
      </c>
      <c r="AO238" s="342">
        <f t="shared" si="83"/>
        <v>0</v>
      </c>
      <c r="AP238" s="342">
        <f t="shared" si="83"/>
        <v>0</v>
      </c>
      <c r="AQ238" s="342">
        <f t="shared" si="83"/>
        <v>0</v>
      </c>
      <c r="AR238" s="342">
        <f t="shared" si="83"/>
        <v>0</v>
      </c>
      <c r="AS238" s="342">
        <f t="shared" si="83"/>
        <v>0</v>
      </c>
      <c r="AT238" s="342">
        <f t="shared" si="83"/>
        <v>0</v>
      </c>
      <c r="AU238" s="342">
        <f t="shared" si="83"/>
        <v>0</v>
      </c>
      <c r="AV238" s="342">
        <f t="shared" si="83"/>
        <v>0</v>
      </c>
      <c r="AW238" s="342">
        <f t="shared" si="83"/>
        <v>0</v>
      </c>
      <c r="AX238" s="342">
        <f t="shared" si="83"/>
        <v>0</v>
      </c>
      <c r="AY238" s="342">
        <f t="shared" si="83"/>
        <v>0</v>
      </c>
      <c r="AZ238" s="342">
        <f t="shared" si="83"/>
        <v>0</v>
      </c>
      <c r="BA238" s="342">
        <f t="shared" si="83"/>
        <v>0</v>
      </c>
      <c r="BB238" s="342">
        <f t="shared" si="83"/>
        <v>0</v>
      </c>
      <c r="BC238" s="342">
        <f t="shared" si="83"/>
        <v>0</v>
      </c>
      <c r="BD238" s="342">
        <f t="shared" si="83"/>
        <v>0</v>
      </c>
      <c r="BE238" s="1325">
        <f t="shared" si="83"/>
        <v>0</v>
      </c>
    </row>
    <row r="239" spans="2:57" x14ac:dyDescent="0.25">
      <c r="B239" s="331" t="s">
        <v>102</v>
      </c>
      <c r="C239" s="332"/>
      <c r="D239" s="332"/>
      <c r="E239" s="335"/>
      <c r="F239" s="335" t="s">
        <v>22</v>
      </c>
      <c r="G239" s="342"/>
      <c r="H239" s="342">
        <f>-(H619+H640+H661)</f>
        <v>0</v>
      </c>
      <c r="I239" s="342">
        <f t="shared" ref="I239:BE239" si="84">-(I619+I640+I661)</f>
        <v>0</v>
      </c>
      <c r="J239" s="342">
        <f t="shared" si="84"/>
        <v>0</v>
      </c>
      <c r="K239" s="342">
        <f t="shared" si="84"/>
        <v>0</v>
      </c>
      <c r="L239" s="342">
        <f t="shared" si="84"/>
        <v>0</v>
      </c>
      <c r="M239" s="342">
        <f t="shared" si="84"/>
        <v>0</v>
      </c>
      <c r="N239" s="342">
        <f t="shared" si="84"/>
        <v>0</v>
      </c>
      <c r="O239" s="342">
        <f t="shared" si="84"/>
        <v>0</v>
      </c>
      <c r="P239" s="342">
        <f t="shared" si="84"/>
        <v>0</v>
      </c>
      <c r="Q239" s="342">
        <f t="shared" si="84"/>
        <v>0</v>
      </c>
      <c r="R239" s="342">
        <f t="shared" si="84"/>
        <v>0</v>
      </c>
      <c r="S239" s="342">
        <f t="shared" si="84"/>
        <v>0</v>
      </c>
      <c r="T239" s="342">
        <f t="shared" si="84"/>
        <v>0</v>
      </c>
      <c r="U239" s="342">
        <f t="shared" si="84"/>
        <v>0</v>
      </c>
      <c r="V239" s="342">
        <f t="shared" si="84"/>
        <v>0</v>
      </c>
      <c r="W239" s="342">
        <f t="shared" si="84"/>
        <v>0</v>
      </c>
      <c r="X239" s="342">
        <f t="shared" si="84"/>
        <v>0</v>
      </c>
      <c r="Y239" s="342">
        <f t="shared" si="84"/>
        <v>0</v>
      </c>
      <c r="Z239" s="342">
        <f t="shared" si="84"/>
        <v>0</v>
      </c>
      <c r="AA239" s="342">
        <f t="shared" si="84"/>
        <v>0</v>
      </c>
      <c r="AB239" s="342">
        <f t="shared" si="84"/>
        <v>0</v>
      </c>
      <c r="AC239" s="342">
        <f t="shared" si="84"/>
        <v>0</v>
      </c>
      <c r="AD239" s="342">
        <f t="shared" si="84"/>
        <v>0</v>
      </c>
      <c r="AE239" s="342">
        <f t="shared" si="84"/>
        <v>0</v>
      </c>
      <c r="AF239" s="342">
        <f t="shared" si="84"/>
        <v>0</v>
      </c>
      <c r="AG239" s="342">
        <f t="shared" si="84"/>
        <v>0</v>
      </c>
      <c r="AH239" s="342">
        <f t="shared" si="84"/>
        <v>0</v>
      </c>
      <c r="AI239" s="342">
        <f t="shared" si="84"/>
        <v>0</v>
      </c>
      <c r="AJ239" s="342">
        <f t="shared" si="84"/>
        <v>0</v>
      </c>
      <c r="AK239" s="342">
        <f t="shared" si="84"/>
        <v>0</v>
      </c>
      <c r="AL239" s="342">
        <f t="shared" si="84"/>
        <v>0</v>
      </c>
      <c r="AM239" s="342">
        <f t="shared" si="84"/>
        <v>0</v>
      </c>
      <c r="AN239" s="342">
        <f t="shared" si="84"/>
        <v>0</v>
      </c>
      <c r="AO239" s="342">
        <f t="shared" si="84"/>
        <v>0</v>
      </c>
      <c r="AP239" s="342">
        <f t="shared" si="84"/>
        <v>0</v>
      </c>
      <c r="AQ239" s="342">
        <f t="shared" si="84"/>
        <v>0</v>
      </c>
      <c r="AR239" s="342">
        <f t="shared" si="84"/>
        <v>0</v>
      </c>
      <c r="AS239" s="342">
        <f t="shared" si="84"/>
        <v>0</v>
      </c>
      <c r="AT239" s="342">
        <f t="shared" si="84"/>
        <v>0</v>
      </c>
      <c r="AU239" s="342">
        <f t="shared" si="84"/>
        <v>0</v>
      </c>
      <c r="AV239" s="342">
        <f t="shared" si="84"/>
        <v>0</v>
      </c>
      <c r="AW239" s="342">
        <f t="shared" si="84"/>
        <v>0</v>
      </c>
      <c r="AX239" s="342">
        <f t="shared" si="84"/>
        <v>0</v>
      </c>
      <c r="AY239" s="342">
        <f t="shared" si="84"/>
        <v>0</v>
      </c>
      <c r="AZ239" s="342">
        <f t="shared" si="84"/>
        <v>0</v>
      </c>
      <c r="BA239" s="342">
        <f t="shared" si="84"/>
        <v>0</v>
      </c>
      <c r="BB239" s="342">
        <f t="shared" si="84"/>
        <v>0</v>
      </c>
      <c r="BC239" s="342">
        <f t="shared" si="84"/>
        <v>0</v>
      </c>
      <c r="BD239" s="342">
        <f t="shared" si="84"/>
        <v>0</v>
      </c>
      <c r="BE239" s="1325">
        <f t="shared" si="84"/>
        <v>0</v>
      </c>
    </row>
    <row r="240" spans="2:57" x14ac:dyDescent="0.25">
      <c r="B240" s="344" t="s">
        <v>103</v>
      </c>
      <c r="C240" s="339"/>
      <c r="D240" s="339"/>
      <c r="E240" s="340"/>
      <c r="F240" s="340" t="s">
        <v>22</v>
      </c>
      <c r="G240" s="1326"/>
      <c r="H240" s="1326">
        <f>(H212+H220+H222+H227+H228+H229+H224+H225+H226)*'II. Inputs, Baseline Energy Mix'!$R$19</f>
        <v>0</v>
      </c>
      <c r="I240" s="1326">
        <f>(I212+I220+I222+I227+I228+I229+I224+I225+I226)*'II. Inputs, Baseline Energy Mix'!$R$19</f>
        <v>0</v>
      </c>
      <c r="J240" s="1326">
        <f>(J212+J220+J222+J227+J228+J229+J224+J225+J226)*'II. Inputs, Baseline Energy Mix'!$R$19</f>
        <v>0</v>
      </c>
      <c r="K240" s="1326">
        <f>(K212+K220+K222+K227+K228+K229+K224+K225+K226)*'II. Inputs, Baseline Energy Mix'!$R$19</f>
        <v>0</v>
      </c>
      <c r="L240" s="1326">
        <f>(L212+L220+L222+L227+L228+L229+L224+L225+L226)*'II. Inputs, Baseline Energy Mix'!$R$19</f>
        <v>0</v>
      </c>
      <c r="M240" s="1326">
        <f>(M212+M220+M222+M227+M228+M229+M224+M225+M226)*'II. Inputs, Baseline Energy Mix'!$R$19</f>
        <v>0</v>
      </c>
      <c r="N240" s="1326">
        <f>(N212+N220+N222+N227+N228+N229+N224+N225+N226)*'II. Inputs, Baseline Energy Mix'!$R$19</f>
        <v>0</v>
      </c>
      <c r="O240" s="1326">
        <f>(O212+O220+O222+O227+O228+O229+O224+O225+O226)*'II. Inputs, Baseline Energy Mix'!$R$19</f>
        <v>0</v>
      </c>
      <c r="P240" s="1326">
        <f>(P212+P220+P222+P227+P228+P229+P224+P225+P226)*'II. Inputs, Baseline Energy Mix'!$R$19</f>
        <v>0</v>
      </c>
      <c r="Q240" s="1326">
        <f>(Q212+Q220+Q222+Q227+Q228+Q229+Q224+Q225+Q226)*'II. Inputs, Baseline Energy Mix'!$R$19</f>
        <v>0</v>
      </c>
      <c r="R240" s="1326">
        <f>(R212+R220+R222+R227+R228+R229+R224+R225+R226)*'II. Inputs, Baseline Energy Mix'!$R$19</f>
        <v>0</v>
      </c>
      <c r="S240" s="1326">
        <f>(S212+S220+S222+S227+S228+S229+S224+S225+S226)*'II. Inputs, Baseline Energy Mix'!$R$19</f>
        <v>0</v>
      </c>
      <c r="T240" s="1326">
        <f>(T212+T220+T222+T227+T228+T229+T224+T225+T226)*'II. Inputs, Baseline Energy Mix'!$R$19</f>
        <v>0</v>
      </c>
      <c r="U240" s="1326">
        <f>(U212+U220+U222+U227+U228+U229+U224+U225+U226)*'II. Inputs, Baseline Energy Mix'!$R$19</f>
        <v>0</v>
      </c>
      <c r="V240" s="1326">
        <f>(V212+V220+V222+V227+V228+V229+V224+V225+V226)*'II. Inputs, Baseline Energy Mix'!$R$19</f>
        <v>0</v>
      </c>
      <c r="W240" s="1326">
        <f>(W212+W220+W222+W227+W228+W229+W224+W225+W226)*'II. Inputs, Baseline Energy Mix'!$R$19</f>
        <v>0</v>
      </c>
      <c r="X240" s="1326">
        <f>(X212+X220+X222+X227+X228+X229+X224+X225+X226)*'II. Inputs, Baseline Energy Mix'!$R$19</f>
        <v>0</v>
      </c>
      <c r="Y240" s="1326">
        <f>(Y212+Y220+Y222+Y227+Y228+Y229+Y224+Y225+Y226)*'II. Inputs, Baseline Energy Mix'!$R$19</f>
        <v>0</v>
      </c>
      <c r="Z240" s="1326">
        <f>(Z212+Z220+Z222+Z227+Z228+Z229+Z224+Z225+Z226)*'II. Inputs, Baseline Energy Mix'!$R$19</f>
        <v>0</v>
      </c>
      <c r="AA240" s="1326">
        <f>(AA212+AA220+AA222+AA227+AA228+AA229+AA224+AA225+AA226)*'II. Inputs, Baseline Energy Mix'!$R$19</f>
        <v>0</v>
      </c>
      <c r="AB240" s="1326">
        <f>(AB212+AB220+AB222+AB227+AB228+AB229+AB224+AB225+AB226)*'II. Inputs, Baseline Energy Mix'!$R$19</f>
        <v>0</v>
      </c>
      <c r="AC240" s="1326">
        <f>(AC212+AC220+AC222+AC227+AC228+AC229+AC224+AC225+AC226)*'II. Inputs, Baseline Energy Mix'!$R$19</f>
        <v>0</v>
      </c>
      <c r="AD240" s="1326">
        <f>(AD212+AD220+AD222+AD227+AD228+AD229+AD224+AD225+AD226)*'II. Inputs, Baseline Energy Mix'!$R$19</f>
        <v>0</v>
      </c>
      <c r="AE240" s="1326">
        <f>(AE212+AE220+AE222+AE227+AE228+AE229+AE224+AE225+AE226)*'II. Inputs, Baseline Energy Mix'!$R$19</f>
        <v>0</v>
      </c>
      <c r="AF240" s="1326">
        <f>(AF212+AF220+AF222+AF227+AF228+AF229+AF224+AF225+AF226)*'II. Inputs, Baseline Energy Mix'!$R$19</f>
        <v>0</v>
      </c>
      <c r="AG240" s="1326">
        <f>(AG212+AG220+AG222+AG227+AG228+AG229+AG224+AG225+AG226)*'II. Inputs, Baseline Energy Mix'!$R$19</f>
        <v>0</v>
      </c>
      <c r="AH240" s="1326">
        <f>(AH212+AH220+AH222+AH227+AH228+AH229+AH224+AH225+AH226)*'II. Inputs, Baseline Energy Mix'!$R$19</f>
        <v>0</v>
      </c>
      <c r="AI240" s="1326">
        <f>(AI212+AI220+AI222+AI227+AI228+AI229+AI224+AI225+AI226)*'II. Inputs, Baseline Energy Mix'!$R$19</f>
        <v>0</v>
      </c>
      <c r="AJ240" s="1326">
        <f>(AJ212+AJ220+AJ222+AJ227+AJ228+AJ229+AJ224+AJ225+AJ226)*'II. Inputs, Baseline Energy Mix'!$R$19</f>
        <v>0</v>
      </c>
      <c r="AK240" s="1326">
        <f>(AK212+AK220+AK222+AK227+AK228+AK229+AK224+AK225+AK226)*'II. Inputs, Baseline Energy Mix'!$R$19</f>
        <v>0</v>
      </c>
      <c r="AL240" s="1326">
        <f>(AL212+AL220+AL222+AL227+AL228+AL229+AL224+AL225+AL226)*'II. Inputs, Baseline Energy Mix'!$R$19</f>
        <v>0</v>
      </c>
      <c r="AM240" s="1326">
        <f>(AM212+AM220+AM222+AM227+AM228+AM229+AM224+AM225+AM226)*'II. Inputs, Baseline Energy Mix'!$R$19</f>
        <v>0</v>
      </c>
      <c r="AN240" s="1326">
        <f>(AN212+AN220+AN222+AN227+AN228+AN229+AN224+AN225+AN226)*'II. Inputs, Baseline Energy Mix'!$R$19</f>
        <v>0</v>
      </c>
      <c r="AO240" s="1326">
        <f>(AO212+AO220+AO222+AO227+AO228+AO229+AO224+AO225+AO226)*'II. Inputs, Baseline Energy Mix'!$R$19</f>
        <v>0</v>
      </c>
      <c r="AP240" s="1326">
        <f>(AP212+AP220+AP222+AP227+AP228+AP229+AP224+AP225+AP226)*'II. Inputs, Baseline Energy Mix'!$R$19</f>
        <v>0</v>
      </c>
      <c r="AQ240" s="1326">
        <f>(AQ212+AQ220+AQ222+AQ227+AQ228+AQ229+AQ224+AQ225+AQ226)*'II. Inputs, Baseline Energy Mix'!$R$19</f>
        <v>0</v>
      </c>
      <c r="AR240" s="1326">
        <f>(AR212+AR220+AR222+AR227+AR228+AR229+AR224+AR225+AR226)*'II. Inputs, Baseline Energy Mix'!$R$19</f>
        <v>0</v>
      </c>
      <c r="AS240" s="1326">
        <f>(AS212+AS220+AS222+AS227+AS228+AS229+AS224+AS225+AS226)*'II. Inputs, Baseline Energy Mix'!$R$19</f>
        <v>0</v>
      </c>
      <c r="AT240" s="1326">
        <f>(AT212+AT220+AT222+AT227+AT228+AT229+AT224+AT225+AT226)*'II. Inputs, Baseline Energy Mix'!$R$19</f>
        <v>0</v>
      </c>
      <c r="AU240" s="1326">
        <f>(AU212+AU220+AU222+AU227+AU228+AU229+AU224+AU225+AU226)*'II. Inputs, Baseline Energy Mix'!$R$19</f>
        <v>0</v>
      </c>
      <c r="AV240" s="1326">
        <f>(AV212+AV220+AV222+AV227+AV228+AV229+AV224+AV225+AV226)*'II. Inputs, Baseline Energy Mix'!$R$19</f>
        <v>0</v>
      </c>
      <c r="AW240" s="1326">
        <f>(AW212+AW220+AW222+AW227+AW228+AW229+AW224+AW225+AW226)*'II. Inputs, Baseline Energy Mix'!$R$19</f>
        <v>0</v>
      </c>
      <c r="AX240" s="1326">
        <f>(AX212+AX220+AX222+AX227+AX228+AX229+AX224+AX225+AX226)*'II. Inputs, Baseline Energy Mix'!$R$19</f>
        <v>0</v>
      </c>
      <c r="AY240" s="1326">
        <f>(AY212+AY220+AY222+AY227+AY228+AY229+AY224+AY225+AY226)*'II. Inputs, Baseline Energy Mix'!$R$19</f>
        <v>0</v>
      </c>
      <c r="AZ240" s="1326">
        <f>(AZ212+AZ220+AZ222+AZ227+AZ228+AZ229+AZ224+AZ225+AZ226)*'II. Inputs, Baseline Energy Mix'!$R$19</f>
        <v>0</v>
      </c>
      <c r="BA240" s="1326">
        <f>(BA212+BA220+BA222+BA227+BA228+BA229+BA224+BA225+BA226)*'II. Inputs, Baseline Energy Mix'!$R$19</f>
        <v>0</v>
      </c>
      <c r="BB240" s="1326">
        <f>(BB212+BB220+BB222+BB227+BB228+BB229+BB224+BB225+BB226)*'II. Inputs, Baseline Energy Mix'!$R$19</f>
        <v>0</v>
      </c>
      <c r="BC240" s="1326">
        <f>(BC212+BC220+BC222+BC227+BC228+BC229+BC224+BC225+BC226)*'II. Inputs, Baseline Energy Mix'!$R$19</f>
        <v>0</v>
      </c>
      <c r="BD240" s="1326">
        <f>(BD212+BD220+BD222+BD227+BD228+BD229+BD224+BD225+BD226)*'II. Inputs, Baseline Energy Mix'!$R$19</f>
        <v>0</v>
      </c>
      <c r="BE240" s="1327">
        <f>(BE212+BE220+BE222+BE227+BE228+BE229+BE224+BE225+BE226)*'II. Inputs, Baseline Energy Mix'!$R$19</f>
        <v>0</v>
      </c>
    </row>
    <row r="241" spans="2:57" x14ac:dyDescent="0.25">
      <c r="B241" s="331" t="s">
        <v>104</v>
      </c>
      <c r="C241" s="332"/>
      <c r="D241" s="332"/>
      <c r="E241" s="335"/>
      <c r="F241" s="335" t="s">
        <v>22</v>
      </c>
      <c r="G241" s="342">
        <f>-IF('II. Inputs, Baseline Energy Mix'!$R$15&gt;0, 'II. Inputs, Baseline Energy Mix'!$R$16*'II. Inputs, Baseline Energy Mix'!$R$17*'II. Inputs, Baseline Energy Mix'!$R$29,0)</f>
        <v>0</v>
      </c>
      <c r="H241" s="342">
        <f t="shared" ref="H241:AM241" si="85">SUM(H234:H240)</f>
        <v>0</v>
      </c>
      <c r="I241" s="342">
        <f t="shared" si="85"/>
        <v>0</v>
      </c>
      <c r="J241" s="342">
        <f t="shared" si="85"/>
        <v>0</v>
      </c>
      <c r="K241" s="342">
        <f t="shared" si="85"/>
        <v>0</v>
      </c>
      <c r="L241" s="342">
        <f t="shared" si="85"/>
        <v>0</v>
      </c>
      <c r="M241" s="342">
        <f t="shared" si="85"/>
        <v>0</v>
      </c>
      <c r="N241" s="342">
        <f t="shared" si="85"/>
        <v>0</v>
      </c>
      <c r="O241" s="342">
        <f t="shared" si="85"/>
        <v>0</v>
      </c>
      <c r="P241" s="342">
        <f t="shared" si="85"/>
        <v>0</v>
      </c>
      <c r="Q241" s="342">
        <f t="shared" si="85"/>
        <v>0</v>
      </c>
      <c r="R241" s="342">
        <f t="shared" si="85"/>
        <v>0</v>
      </c>
      <c r="S241" s="342">
        <f t="shared" si="85"/>
        <v>0</v>
      </c>
      <c r="T241" s="342">
        <f t="shared" si="85"/>
        <v>0</v>
      </c>
      <c r="U241" s="342">
        <f t="shared" si="85"/>
        <v>0</v>
      </c>
      <c r="V241" s="342">
        <f t="shared" si="85"/>
        <v>0</v>
      </c>
      <c r="W241" s="342">
        <f t="shared" si="85"/>
        <v>0</v>
      </c>
      <c r="X241" s="342">
        <f t="shared" si="85"/>
        <v>0</v>
      </c>
      <c r="Y241" s="342">
        <f t="shared" si="85"/>
        <v>0</v>
      </c>
      <c r="Z241" s="342">
        <f t="shared" si="85"/>
        <v>0</v>
      </c>
      <c r="AA241" s="342">
        <f t="shared" si="85"/>
        <v>0</v>
      </c>
      <c r="AB241" s="342">
        <f t="shared" si="85"/>
        <v>0</v>
      </c>
      <c r="AC241" s="342">
        <f t="shared" si="85"/>
        <v>0</v>
      </c>
      <c r="AD241" s="342">
        <f t="shared" si="85"/>
        <v>0</v>
      </c>
      <c r="AE241" s="342">
        <f t="shared" si="85"/>
        <v>0</v>
      </c>
      <c r="AF241" s="342">
        <f t="shared" si="85"/>
        <v>0</v>
      </c>
      <c r="AG241" s="342">
        <f t="shared" si="85"/>
        <v>0</v>
      </c>
      <c r="AH241" s="342">
        <f t="shared" si="85"/>
        <v>0</v>
      </c>
      <c r="AI241" s="342">
        <f t="shared" si="85"/>
        <v>0</v>
      </c>
      <c r="AJ241" s="342">
        <f t="shared" si="85"/>
        <v>0</v>
      </c>
      <c r="AK241" s="342">
        <f t="shared" si="85"/>
        <v>0</v>
      </c>
      <c r="AL241" s="342">
        <f t="shared" si="85"/>
        <v>0</v>
      </c>
      <c r="AM241" s="342">
        <f t="shared" si="85"/>
        <v>0</v>
      </c>
      <c r="AN241" s="342">
        <f t="shared" ref="AN241:BE241" si="86">SUM(AN234:AN240)</f>
        <v>0</v>
      </c>
      <c r="AO241" s="342">
        <f t="shared" si="86"/>
        <v>0</v>
      </c>
      <c r="AP241" s="342">
        <f t="shared" si="86"/>
        <v>0</v>
      </c>
      <c r="AQ241" s="342">
        <f t="shared" si="86"/>
        <v>0</v>
      </c>
      <c r="AR241" s="342">
        <f t="shared" si="86"/>
        <v>0</v>
      </c>
      <c r="AS241" s="342">
        <f t="shared" si="86"/>
        <v>0</v>
      </c>
      <c r="AT241" s="342">
        <f t="shared" si="86"/>
        <v>0</v>
      </c>
      <c r="AU241" s="342">
        <f t="shared" si="86"/>
        <v>0</v>
      </c>
      <c r="AV241" s="342">
        <f t="shared" si="86"/>
        <v>0</v>
      </c>
      <c r="AW241" s="342">
        <f t="shared" si="86"/>
        <v>0</v>
      </c>
      <c r="AX241" s="342">
        <f t="shared" si="86"/>
        <v>0</v>
      </c>
      <c r="AY241" s="342">
        <f t="shared" si="86"/>
        <v>0</v>
      </c>
      <c r="AZ241" s="342">
        <f t="shared" si="86"/>
        <v>0</v>
      </c>
      <c r="BA241" s="342">
        <f t="shared" si="86"/>
        <v>0</v>
      </c>
      <c r="BB241" s="342">
        <f t="shared" si="86"/>
        <v>0</v>
      </c>
      <c r="BC241" s="342">
        <f t="shared" si="86"/>
        <v>0</v>
      </c>
      <c r="BD241" s="342">
        <f t="shared" si="86"/>
        <v>0</v>
      </c>
      <c r="BE241" s="1325">
        <f t="shared" si="86"/>
        <v>0</v>
      </c>
    </row>
    <row r="242" spans="2:57" x14ac:dyDescent="0.25">
      <c r="B242" s="331"/>
      <c r="C242" s="332"/>
      <c r="D242" s="332"/>
      <c r="E242" s="335"/>
      <c r="F242" s="332"/>
      <c r="G242" s="332"/>
      <c r="H242" s="332"/>
      <c r="I242" s="342"/>
      <c r="J242" s="332"/>
      <c r="K242" s="332"/>
      <c r="L242" s="332"/>
      <c r="M242" s="332"/>
      <c r="N242" s="332"/>
      <c r="O242" s="332"/>
      <c r="P242" s="332"/>
      <c r="Q242" s="332"/>
      <c r="R242" s="332"/>
      <c r="S242" s="332"/>
      <c r="T242" s="332"/>
      <c r="U242" s="332"/>
      <c r="V242" s="332"/>
      <c r="W242" s="332"/>
      <c r="X242" s="332"/>
      <c r="Y242" s="332"/>
      <c r="Z242" s="332"/>
      <c r="AA242" s="332"/>
      <c r="AB242" s="332"/>
      <c r="AC242" s="332"/>
      <c r="AD242" s="332"/>
      <c r="AE242" s="332"/>
      <c r="AF242" s="332"/>
      <c r="AG242" s="332"/>
      <c r="AH242" s="332"/>
      <c r="AI242" s="332"/>
      <c r="AJ242" s="332"/>
      <c r="AK242" s="332"/>
      <c r="AL242" s="332"/>
      <c r="AM242" s="332"/>
      <c r="AN242" s="332"/>
      <c r="AO242" s="332"/>
      <c r="AP242" s="332"/>
      <c r="AQ242" s="332"/>
      <c r="AR242" s="332"/>
      <c r="AS242" s="332"/>
      <c r="AT242" s="332"/>
      <c r="AU242" s="332"/>
      <c r="AV242" s="332"/>
      <c r="AW242" s="332"/>
      <c r="AX242" s="332"/>
      <c r="AY242" s="332"/>
      <c r="AZ242" s="332"/>
      <c r="BA242" s="332"/>
      <c r="BB242" s="332"/>
      <c r="BC242" s="332"/>
      <c r="BD242" s="332"/>
      <c r="BE242" s="333"/>
    </row>
    <row r="243" spans="2:57" x14ac:dyDescent="0.25">
      <c r="B243" s="331" t="s">
        <v>105</v>
      </c>
      <c r="C243" s="332"/>
      <c r="D243" s="332"/>
      <c r="E243" s="335"/>
      <c r="F243" s="332"/>
      <c r="G243" s="1103">
        <f>'II. Inputs, Baseline Energy Mix'!$R$37</f>
        <v>0.153</v>
      </c>
      <c r="H243" s="332"/>
      <c r="I243" s="342"/>
      <c r="J243" s="332"/>
      <c r="K243" s="332"/>
      <c r="L243" s="332"/>
      <c r="M243" s="332"/>
      <c r="N243" s="332"/>
      <c r="O243" s="332"/>
      <c r="P243" s="332"/>
      <c r="Q243" s="332"/>
      <c r="R243" s="332"/>
      <c r="S243" s="332"/>
      <c r="T243" s="332"/>
      <c r="U243" s="332"/>
      <c r="V243" s="332"/>
      <c r="W243" s="332"/>
      <c r="X243" s="332"/>
      <c r="Y243" s="332"/>
      <c r="Z243" s="332"/>
      <c r="AA243" s="332"/>
      <c r="AB243" s="332"/>
      <c r="AC243" s="332"/>
      <c r="AD243" s="332"/>
      <c r="AE243" s="332"/>
      <c r="AF243" s="332"/>
      <c r="AG243" s="332"/>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2"/>
      <c r="BE243" s="333"/>
    </row>
    <row r="244" spans="2:57" x14ac:dyDescent="0.25">
      <c r="B244" s="331" t="s">
        <v>106</v>
      </c>
      <c r="C244" s="332"/>
      <c r="D244" s="332"/>
      <c r="E244" s="335"/>
      <c r="F244" s="332"/>
      <c r="G244" s="1328">
        <f>IF(G243="NA", "NA", NPV(G243,H241:BE241)+G241)</f>
        <v>0</v>
      </c>
      <c r="H244" s="332"/>
      <c r="I244" s="342"/>
      <c r="J244" s="332"/>
      <c r="K244" s="332"/>
      <c r="L244" s="332"/>
      <c r="M244" s="332"/>
      <c r="N244" s="332"/>
      <c r="O244" s="332"/>
      <c r="P244" s="332"/>
      <c r="Q244" s="332"/>
      <c r="R244" s="332"/>
      <c r="S244" s="332"/>
      <c r="T244" s="332"/>
      <c r="U244" s="332"/>
      <c r="V244" s="332"/>
      <c r="W244" s="332"/>
      <c r="X244" s="332"/>
      <c r="Y244" s="332"/>
      <c r="Z244" s="332"/>
      <c r="AA244" s="332"/>
      <c r="AB244" s="332"/>
      <c r="AC244" s="332"/>
      <c r="AD244" s="332"/>
      <c r="AE244" s="332"/>
      <c r="AF244" s="332"/>
      <c r="AG244" s="332"/>
      <c r="AH244" s="332"/>
      <c r="AI244" s="332"/>
      <c r="AJ244" s="332"/>
      <c r="AK244" s="332"/>
      <c r="AL244" s="332"/>
      <c r="AM244" s="332"/>
      <c r="AN244" s="332"/>
      <c r="AO244" s="332"/>
      <c r="AP244" s="332"/>
      <c r="AQ244" s="332"/>
      <c r="AR244" s="332"/>
      <c r="AS244" s="332"/>
      <c r="AT244" s="332"/>
      <c r="AU244" s="332"/>
      <c r="AV244" s="332"/>
      <c r="AW244" s="332"/>
      <c r="AX244" s="332"/>
      <c r="AY244" s="332"/>
      <c r="AZ244" s="332"/>
      <c r="BA244" s="332"/>
      <c r="BB244" s="332"/>
      <c r="BC244" s="332"/>
      <c r="BD244" s="332"/>
      <c r="BE244" s="333"/>
    </row>
    <row r="245" spans="2:57" x14ac:dyDescent="0.25">
      <c r="B245" s="331" t="s">
        <v>107</v>
      </c>
      <c r="C245" s="332"/>
      <c r="D245" s="332"/>
      <c r="E245" s="335"/>
      <c r="F245" s="332"/>
      <c r="G245" s="1328">
        <f>IF(G243="NA", "NA", -NPV(G243,H208:BE208))</f>
        <v>0</v>
      </c>
      <c r="H245" s="332"/>
      <c r="I245" s="342"/>
      <c r="J245" s="332"/>
      <c r="K245" s="332"/>
      <c r="L245" s="332"/>
      <c r="M245" s="332"/>
      <c r="N245" s="332"/>
      <c r="O245" s="332"/>
      <c r="P245" s="332"/>
      <c r="Q245" s="332"/>
      <c r="R245" s="332"/>
      <c r="S245" s="332"/>
      <c r="T245" s="332"/>
      <c r="U245" s="332"/>
      <c r="V245" s="332"/>
      <c r="W245" s="332"/>
      <c r="X245" s="332"/>
      <c r="Y245" s="332"/>
      <c r="Z245" s="332"/>
      <c r="AA245" s="332"/>
      <c r="AB245" s="332"/>
      <c r="AC245" s="332"/>
      <c r="AD245" s="332"/>
      <c r="AE245" s="332"/>
      <c r="AF245" s="332"/>
      <c r="AG245" s="332"/>
      <c r="AH245" s="332"/>
      <c r="AI245" s="332"/>
      <c r="AJ245" s="332"/>
      <c r="AK245" s="332"/>
      <c r="AL245" s="332"/>
      <c r="AM245" s="332"/>
      <c r="AN245" s="332"/>
      <c r="AO245" s="332"/>
      <c r="AP245" s="332"/>
      <c r="AQ245" s="332"/>
      <c r="AR245" s="332"/>
      <c r="AS245" s="332"/>
      <c r="AT245" s="332"/>
      <c r="AU245" s="332"/>
      <c r="AV245" s="332"/>
      <c r="AW245" s="332"/>
      <c r="AX245" s="332"/>
      <c r="AY245" s="332"/>
      <c r="AZ245" s="332"/>
      <c r="BA245" s="332"/>
      <c r="BB245" s="332"/>
      <c r="BC245" s="332"/>
      <c r="BD245" s="332"/>
      <c r="BE245" s="333"/>
    </row>
    <row r="246" spans="2:57" ht="13.8" thickBot="1" x14ac:dyDescent="0.3">
      <c r="B246" s="331" t="s">
        <v>108</v>
      </c>
      <c r="C246" s="332"/>
      <c r="D246" s="332"/>
      <c r="E246" s="335"/>
      <c r="F246" s="335" t="s">
        <v>625</v>
      </c>
      <c r="G246" s="1329" t="str">
        <f>IF(OR(G245=0,G243="NA"), "NA", G244/G245)</f>
        <v>NA</v>
      </c>
      <c r="H246" s="332"/>
      <c r="I246" s="342"/>
      <c r="J246" s="332"/>
      <c r="K246" s="332"/>
      <c r="L246" s="332"/>
      <c r="M246" s="332"/>
      <c r="N246" s="332"/>
      <c r="O246" s="332"/>
      <c r="P246" s="332"/>
      <c r="Q246" s="332"/>
      <c r="R246" s="332"/>
      <c r="S246" s="332"/>
      <c r="T246" s="332"/>
      <c r="U246" s="332"/>
      <c r="V246" s="332"/>
      <c r="W246" s="332"/>
      <c r="X246" s="332"/>
      <c r="Y246" s="332"/>
      <c r="Z246" s="332"/>
      <c r="AA246" s="332"/>
      <c r="AB246" s="332"/>
      <c r="AC246" s="332"/>
      <c r="AD246" s="332"/>
      <c r="AE246" s="332"/>
      <c r="AF246" s="332"/>
      <c r="AG246" s="332"/>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2"/>
      <c r="BE246" s="333"/>
    </row>
    <row r="247" spans="2:57" ht="13.8" thickBot="1" x14ac:dyDescent="0.3">
      <c r="B247" s="345" t="s">
        <v>109</v>
      </c>
      <c r="C247" s="346"/>
      <c r="D247" s="346"/>
      <c r="E247" s="347"/>
      <c r="F247" s="347" t="s">
        <v>626</v>
      </c>
      <c r="G247" s="1330" t="str">
        <f>IF(G246="NA", "NA", $G$246/(1-'II. Inputs, Baseline Energy Mix'!$R$19))</f>
        <v>NA</v>
      </c>
      <c r="H247" s="332"/>
      <c r="I247" s="342"/>
      <c r="J247" s="332"/>
      <c r="K247" s="332"/>
      <c r="L247" s="332"/>
      <c r="M247" s="332"/>
      <c r="N247" s="332"/>
      <c r="O247" s="332"/>
      <c r="P247" s="332"/>
      <c r="Q247" s="332"/>
      <c r="R247" s="332"/>
      <c r="S247" s="332"/>
      <c r="T247" s="332"/>
      <c r="U247" s="332"/>
      <c r="V247" s="332"/>
      <c r="W247" s="332"/>
      <c r="X247" s="332"/>
      <c r="Y247" s="332"/>
      <c r="Z247" s="332"/>
      <c r="AA247" s="332"/>
      <c r="AB247" s="332"/>
      <c r="AC247" s="332"/>
      <c r="AD247" s="332"/>
      <c r="AE247" s="332"/>
      <c r="AF247" s="332"/>
      <c r="AG247" s="332"/>
      <c r="AH247" s="332"/>
      <c r="AI247" s="332"/>
      <c r="AJ247" s="332"/>
      <c r="AK247" s="332"/>
      <c r="AL247" s="332"/>
      <c r="AM247" s="332"/>
      <c r="AN247" s="332"/>
      <c r="AO247" s="332"/>
      <c r="AP247" s="332"/>
      <c r="AQ247" s="332"/>
      <c r="AR247" s="332"/>
      <c r="AS247" s="332"/>
      <c r="AT247" s="332"/>
      <c r="AU247" s="332"/>
      <c r="AV247" s="332"/>
      <c r="AW247" s="332"/>
      <c r="AX247" s="332"/>
      <c r="AY247" s="332"/>
      <c r="AZ247" s="332"/>
      <c r="BA247" s="332"/>
      <c r="BB247" s="332"/>
      <c r="BC247" s="332"/>
      <c r="BD247" s="332"/>
      <c r="BE247" s="333"/>
    </row>
    <row r="248" spans="2:57" ht="13.8" thickBot="1" x14ac:dyDescent="0.3">
      <c r="B248" s="348"/>
      <c r="C248" s="349"/>
      <c r="D248" s="349"/>
      <c r="E248" s="350"/>
      <c r="F248" s="350"/>
      <c r="G248" s="351"/>
      <c r="H248" s="352"/>
      <c r="I248" s="353"/>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2"/>
      <c r="BC248" s="352"/>
      <c r="BD248" s="352"/>
      <c r="BE248" s="354"/>
    </row>
    <row r="249" spans="2:57" ht="13.8" thickBot="1" x14ac:dyDescent="0.3">
      <c r="B249" s="43"/>
      <c r="C249" s="43"/>
      <c r="D249" s="43"/>
      <c r="E249" s="207"/>
      <c r="F249" s="207"/>
      <c r="G249" s="327"/>
      <c r="I249" s="249"/>
    </row>
    <row r="250" spans="2:57" s="36" customFormat="1" x14ac:dyDescent="0.25">
      <c r="B250" s="355" t="s">
        <v>139</v>
      </c>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7"/>
    </row>
    <row r="251" spans="2:57" x14ac:dyDescent="0.25">
      <c r="B251" s="358"/>
      <c r="C251" s="359"/>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60"/>
    </row>
    <row r="252" spans="2:57" x14ac:dyDescent="0.25">
      <c r="B252" s="358" t="s">
        <v>136</v>
      </c>
      <c r="C252" s="359"/>
      <c r="D252" s="359"/>
      <c r="E252" s="359"/>
      <c r="F252" s="359"/>
      <c r="G252" s="359"/>
      <c r="H252" s="361">
        <f>IF(H$13&gt;'II. Inputs, Baseline Energy Mix'!$S$18,0,1)</f>
        <v>1</v>
      </c>
      <c r="I252" s="359">
        <f>IF(I$13&gt;'II. Inputs, Baseline Energy Mix'!$S$18,0,1)</f>
        <v>1</v>
      </c>
      <c r="J252" s="359">
        <f>IF(J$13&gt;'II. Inputs, Baseline Energy Mix'!$S$18,0,1)</f>
        <v>1</v>
      </c>
      <c r="K252" s="359">
        <f>IF(K$13&gt;'II. Inputs, Baseline Energy Mix'!$S$18,0,1)</f>
        <v>1</v>
      </c>
      <c r="L252" s="359">
        <f>IF(L$13&gt;'II. Inputs, Baseline Energy Mix'!$S$18,0,1)</f>
        <v>1</v>
      </c>
      <c r="M252" s="359">
        <f>IF(M$13&gt;'II. Inputs, Baseline Energy Mix'!$S$18,0,1)</f>
        <v>1</v>
      </c>
      <c r="N252" s="359">
        <f>IF(N$13&gt;'II. Inputs, Baseline Energy Mix'!$S$18,0,1)</f>
        <v>1</v>
      </c>
      <c r="O252" s="359">
        <f>IF(O$13&gt;'II. Inputs, Baseline Energy Mix'!$S$18,0,1)</f>
        <v>1</v>
      </c>
      <c r="P252" s="359">
        <f>IF(P$13&gt;'II. Inputs, Baseline Energy Mix'!$S$18,0,1)</f>
        <v>1</v>
      </c>
      <c r="Q252" s="359">
        <f>IF(Q$13&gt;'II. Inputs, Baseline Energy Mix'!$S$18,0,1)</f>
        <v>1</v>
      </c>
      <c r="R252" s="359">
        <f>IF(R$13&gt;'II. Inputs, Baseline Energy Mix'!$S$18,0,1)</f>
        <v>1</v>
      </c>
      <c r="S252" s="359">
        <f>IF(S$13&gt;'II. Inputs, Baseline Energy Mix'!$S$18,0,1)</f>
        <v>1</v>
      </c>
      <c r="T252" s="359">
        <f>IF(T$13&gt;'II. Inputs, Baseline Energy Mix'!$S$18,0,1)</f>
        <v>1</v>
      </c>
      <c r="U252" s="359">
        <f>IF(U$13&gt;'II. Inputs, Baseline Energy Mix'!$S$18,0,1)</f>
        <v>1</v>
      </c>
      <c r="V252" s="359">
        <f>IF(V$13&gt;'II. Inputs, Baseline Energy Mix'!$S$18,0,1)</f>
        <v>1</v>
      </c>
      <c r="W252" s="359">
        <f>IF(W$13&gt;'II. Inputs, Baseline Energy Mix'!$S$18,0,1)</f>
        <v>1</v>
      </c>
      <c r="X252" s="359">
        <f>IF(X$13&gt;'II. Inputs, Baseline Energy Mix'!$S$18,0,1)</f>
        <v>1</v>
      </c>
      <c r="Y252" s="359">
        <f>IF(Y$13&gt;'II. Inputs, Baseline Energy Mix'!$S$18,0,1)</f>
        <v>1</v>
      </c>
      <c r="Z252" s="359">
        <f>IF(Z$13&gt;'II. Inputs, Baseline Energy Mix'!$S$18,0,1)</f>
        <v>1</v>
      </c>
      <c r="AA252" s="359">
        <f>IF(AA$13&gt;'II. Inputs, Baseline Energy Mix'!$S$18,0,1)</f>
        <v>1</v>
      </c>
      <c r="AB252" s="359">
        <f>IF(AB$13&gt;'II. Inputs, Baseline Energy Mix'!$S$18,0,1)</f>
        <v>1</v>
      </c>
      <c r="AC252" s="359">
        <f>IF(AC$13&gt;'II. Inputs, Baseline Energy Mix'!$S$18,0,1)</f>
        <v>1</v>
      </c>
      <c r="AD252" s="359">
        <f>IF(AD$13&gt;'II. Inputs, Baseline Energy Mix'!$S$18,0,1)</f>
        <v>1</v>
      </c>
      <c r="AE252" s="359">
        <f>IF(AE$13&gt;'II. Inputs, Baseline Energy Mix'!$S$18,0,1)</f>
        <v>1</v>
      </c>
      <c r="AF252" s="359">
        <f>IF(AF$13&gt;'II. Inputs, Baseline Energy Mix'!$S$18,0,1)</f>
        <v>1</v>
      </c>
      <c r="AG252" s="359">
        <f>IF(AG$13&gt;'II. Inputs, Baseline Energy Mix'!$S$18,0,1)</f>
        <v>1</v>
      </c>
      <c r="AH252" s="359">
        <f>IF(AH$13&gt;'II. Inputs, Baseline Energy Mix'!$S$18,0,1)</f>
        <v>1</v>
      </c>
      <c r="AI252" s="359">
        <f>IF(AI$13&gt;'II. Inputs, Baseline Energy Mix'!$S$18,0,1)</f>
        <v>1</v>
      </c>
      <c r="AJ252" s="359">
        <f>IF(AJ$13&gt;'II. Inputs, Baseline Energy Mix'!$S$18,0,1)</f>
        <v>1</v>
      </c>
      <c r="AK252" s="359">
        <f>IF(AK$13&gt;'II. Inputs, Baseline Energy Mix'!$S$18,0,1)</f>
        <v>1</v>
      </c>
      <c r="AL252" s="359">
        <f>IF(AL$13&gt;'II. Inputs, Baseline Energy Mix'!$S$18,0,1)</f>
        <v>0</v>
      </c>
      <c r="AM252" s="359">
        <f>IF(AM$13&gt;'II. Inputs, Baseline Energy Mix'!$S$18,0,1)</f>
        <v>0</v>
      </c>
      <c r="AN252" s="359">
        <f>IF(AN$13&gt;'II. Inputs, Baseline Energy Mix'!$S$18,0,1)</f>
        <v>0</v>
      </c>
      <c r="AO252" s="359">
        <f>IF(AO$13&gt;'II. Inputs, Baseline Energy Mix'!$S$18,0,1)</f>
        <v>0</v>
      </c>
      <c r="AP252" s="359">
        <f>IF(AP$13&gt;'II. Inputs, Baseline Energy Mix'!$S$18,0,1)</f>
        <v>0</v>
      </c>
      <c r="AQ252" s="359">
        <f>IF(AQ$13&gt;'II. Inputs, Baseline Energy Mix'!$S$18,0,1)</f>
        <v>0</v>
      </c>
      <c r="AR252" s="359">
        <f>IF(AR$13&gt;'II. Inputs, Baseline Energy Mix'!$S$18,0,1)</f>
        <v>0</v>
      </c>
      <c r="AS252" s="359">
        <f>IF(AS$13&gt;'II. Inputs, Baseline Energy Mix'!$S$18,0,1)</f>
        <v>0</v>
      </c>
      <c r="AT252" s="359">
        <f>IF(AT$13&gt;'II. Inputs, Baseline Energy Mix'!$S$18,0,1)</f>
        <v>0</v>
      </c>
      <c r="AU252" s="359">
        <f>IF(AU$13&gt;'II. Inputs, Baseline Energy Mix'!$S$18,0,1)</f>
        <v>0</v>
      </c>
      <c r="AV252" s="359">
        <f>IF(AV$13&gt;'II. Inputs, Baseline Energy Mix'!$S$18,0,1)</f>
        <v>0</v>
      </c>
      <c r="AW252" s="359">
        <f>IF(AW$13&gt;'II. Inputs, Baseline Energy Mix'!$S$18,0,1)</f>
        <v>0</v>
      </c>
      <c r="AX252" s="359">
        <f>IF(AX$13&gt;'II. Inputs, Baseline Energy Mix'!$S$18,0,1)</f>
        <v>0</v>
      </c>
      <c r="AY252" s="359">
        <f>IF(AY$13&gt;'II. Inputs, Baseline Energy Mix'!$S$18,0,1)</f>
        <v>0</v>
      </c>
      <c r="AZ252" s="359">
        <f>IF(AZ$13&gt;'II. Inputs, Baseline Energy Mix'!$S$18,0,1)</f>
        <v>0</v>
      </c>
      <c r="BA252" s="359">
        <f>IF(BA$13&gt;'II. Inputs, Baseline Energy Mix'!$S$18,0,1)</f>
        <v>0</v>
      </c>
      <c r="BB252" s="359">
        <f>IF(BB$13&gt;'II. Inputs, Baseline Energy Mix'!$S$18,0,1)</f>
        <v>0</v>
      </c>
      <c r="BC252" s="359">
        <f>IF(BC$13&gt;'II. Inputs, Baseline Energy Mix'!$S$18,0,1)</f>
        <v>0</v>
      </c>
      <c r="BD252" s="359">
        <f>IF(BD$13&gt;'II. Inputs, Baseline Energy Mix'!$S$18,0,1)</f>
        <v>0</v>
      </c>
      <c r="BE252" s="360">
        <f>IF(BE$13&gt;'II. Inputs, Baseline Energy Mix'!$S$18,0,1)</f>
        <v>0</v>
      </c>
    </row>
    <row r="253" spans="2:57" x14ac:dyDescent="0.25">
      <c r="B253" s="358"/>
      <c r="C253" s="359"/>
      <c r="D253" s="359"/>
      <c r="E253" s="359"/>
      <c r="F253" s="359"/>
      <c r="G253" s="359"/>
      <c r="H253" s="361"/>
      <c r="I253" s="359"/>
      <c r="J253" s="359"/>
      <c r="K253" s="359"/>
      <c r="L253" s="359"/>
      <c r="M253" s="359"/>
      <c r="N253" s="359"/>
      <c r="O253" s="359"/>
      <c r="P253" s="359"/>
      <c r="Q253" s="359"/>
      <c r="R253" s="359"/>
      <c r="S253" s="359"/>
      <c r="T253" s="359"/>
      <c r="U253" s="359"/>
      <c r="V253" s="359"/>
      <c r="W253" s="359"/>
      <c r="X253" s="359"/>
      <c r="Y253" s="359"/>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60"/>
    </row>
    <row r="254" spans="2:57" x14ac:dyDescent="0.25">
      <c r="B254" s="358" t="s">
        <v>97</v>
      </c>
      <c r="C254" s="359"/>
      <c r="D254" s="359"/>
      <c r="E254" s="359"/>
      <c r="F254" s="362" t="s">
        <v>98</v>
      </c>
      <c r="G254" s="359"/>
      <c r="H254" s="363">
        <f>IF('II. Inputs, Baseline Energy Mix'!$S$15=0,0,'II. Inputs, Baseline Energy Mix'!$S$92*'II. Inputs, Baseline Energy Mix'!$S$16*H252)</f>
        <v>0</v>
      </c>
      <c r="I254" s="363">
        <f>IF('II. Inputs, Baseline Energy Mix'!$S$15=0,0,'II. Inputs, Baseline Energy Mix'!$S$92*'II. Inputs, Baseline Energy Mix'!$S$16*I252)</f>
        <v>0</v>
      </c>
      <c r="J254" s="363">
        <f>IF('II. Inputs, Baseline Energy Mix'!$S$15=0,0,'II. Inputs, Baseline Energy Mix'!$S$92*'II. Inputs, Baseline Energy Mix'!$S$16*J252)</f>
        <v>0</v>
      </c>
      <c r="K254" s="363">
        <f>IF('II. Inputs, Baseline Energy Mix'!$S$15=0,0,'II. Inputs, Baseline Energy Mix'!$S$92*'II. Inputs, Baseline Energy Mix'!$S$16*K252)</f>
        <v>0</v>
      </c>
      <c r="L254" s="363">
        <f>IF('II. Inputs, Baseline Energy Mix'!$S$15=0,0,'II. Inputs, Baseline Energy Mix'!$S$92*'II. Inputs, Baseline Energy Mix'!$S$16*L252)</f>
        <v>0</v>
      </c>
      <c r="M254" s="363">
        <f>IF('II. Inputs, Baseline Energy Mix'!$S$15=0,0,'II. Inputs, Baseline Energy Mix'!$S$92*'II. Inputs, Baseline Energy Mix'!$S$16*M252)</f>
        <v>0</v>
      </c>
      <c r="N254" s="363">
        <f>IF('II. Inputs, Baseline Energy Mix'!$S$15=0,0,'II. Inputs, Baseline Energy Mix'!$S$92*'II. Inputs, Baseline Energy Mix'!$S$16*N252)</f>
        <v>0</v>
      </c>
      <c r="O254" s="363">
        <f>IF('II. Inputs, Baseline Energy Mix'!$S$15=0,0,'II. Inputs, Baseline Energy Mix'!$S$92*'II. Inputs, Baseline Energy Mix'!$S$16*O252)</f>
        <v>0</v>
      </c>
      <c r="P254" s="363">
        <f>IF('II. Inputs, Baseline Energy Mix'!$S$15=0,0,'II. Inputs, Baseline Energy Mix'!$S$92*'II. Inputs, Baseline Energy Mix'!$S$16*P252)</f>
        <v>0</v>
      </c>
      <c r="Q254" s="363">
        <f>IF('II. Inputs, Baseline Energy Mix'!$S$15=0,0,'II. Inputs, Baseline Energy Mix'!$S$92*'II. Inputs, Baseline Energy Mix'!$S$16*Q252)</f>
        <v>0</v>
      </c>
      <c r="R254" s="363">
        <f>IF('II. Inputs, Baseline Energy Mix'!$S$15=0,0,'II. Inputs, Baseline Energy Mix'!$S$92*'II. Inputs, Baseline Energy Mix'!$S$16*R252)</f>
        <v>0</v>
      </c>
      <c r="S254" s="363">
        <f>IF('II. Inputs, Baseline Energy Mix'!$S$15=0,0,'II. Inputs, Baseline Energy Mix'!$S$92*'II. Inputs, Baseline Energy Mix'!$S$16*S252)</f>
        <v>0</v>
      </c>
      <c r="T254" s="363">
        <f>IF('II. Inputs, Baseline Energy Mix'!$S$15=0,0,'II. Inputs, Baseline Energy Mix'!$S$92*'II. Inputs, Baseline Energy Mix'!$S$16*T252)</f>
        <v>0</v>
      </c>
      <c r="U254" s="363">
        <f>IF('II. Inputs, Baseline Energy Mix'!$S$15=0,0,'II. Inputs, Baseline Energy Mix'!$S$92*'II. Inputs, Baseline Energy Mix'!$S$16*U252)</f>
        <v>0</v>
      </c>
      <c r="V254" s="363">
        <f>IF('II. Inputs, Baseline Energy Mix'!$S$15=0,0,'II. Inputs, Baseline Energy Mix'!$S$92*'II. Inputs, Baseline Energy Mix'!$S$16*V252)</f>
        <v>0</v>
      </c>
      <c r="W254" s="363">
        <f>IF('II. Inputs, Baseline Energy Mix'!$S$15=0,0,'II. Inputs, Baseline Energy Mix'!$S$92*'II. Inputs, Baseline Energy Mix'!$S$16*W252)</f>
        <v>0</v>
      </c>
      <c r="X254" s="363">
        <f>IF('II. Inputs, Baseline Energy Mix'!$S$15=0,0,'II. Inputs, Baseline Energy Mix'!$S$92*'II. Inputs, Baseline Energy Mix'!$S$16*X252)</f>
        <v>0</v>
      </c>
      <c r="Y254" s="363">
        <f>IF('II. Inputs, Baseline Energy Mix'!$S$15=0,0,'II. Inputs, Baseline Energy Mix'!$S$92*'II. Inputs, Baseline Energy Mix'!$S$16*Y252)</f>
        <v>0</v>
      </c>
      <c r="Z254" s="363">
        <f>IF('II. Inputs, Baseline Energy Mix'!$S$15=0,0,'II. Inputs, Baseline Energy Mix'!$S$92*'II. Inputs, Baseline Energy Mix'!$S$16*Z252)</f>
        <v>0</v>
      </c>
      <c r="AA254" s="363">
        <f>IF('II. Inputs, Baseline Energy Mix'!$S$15=0,0,'II. Inputs, Baseline Energy Mix'!$S$92*'II. Inputs, Baseline Energy Mix'!$S$16*AA252)</f>
        <v>0</v>
      </c>
      <c r="AB254" s="363">
        <f>IF('II. Inputs, Baseline Energy Mix'!$S$15=0,0,'II. Inputs, Baseline Energy Mix'!$S$92*'II. Inputs, Baseline Energy Mix'!$S$16*AB252)</f>
        <v>0</v>
      </c>
      <c r="AC254" s="363">
        <f>IF('II. Inputs, Baseline Energy Mix'!$S$15=0,0,'II. Inputs, Baseline Energy Mix'!$S$92*'II. Inputs, Baseline Energy Mix'!$S$16*AC252)</f>
        <v>0</v>
      </c>
      <c r="AD254" s="363">
        <f>IF('II. Inputs, Baseline Energy Mix'!$S$15=0,0,'II. Inputs, Baseline Energy Mix'!$S$92*'II. Inputs, Baseline Energy Mix'!$S$16*AD252)</f>
        <v>0</v>
      </c>
      <c r="AE254" s="363">
        <f>IF('II. Inputs, Baseline Energy Mix'!$S$15=0,0,'II. Inputs, Baseline Energy Mix'!$S$92*'II. Inputs, Baseline Energy Mix'!$S$16*AE252)</f>
        <v>0</v>
      </c>
      <c r="AF254" s="363">
        <f>IF('II. Inputs, Baseline Energy Mix'!$S$15=0,0,'II. Inputs, Baseline Energy Mix'!$S$92*'II. Inputs, Baseline Energy Mix'!$S$16*AF252)</f>
        <v>0</v>
      </c>
      <c r="AG254" s="363">
        <f>IF('II. Inputs, Baseline Energy Mix'!$S$15=0,0,'II. Inputs, Baseline Energy Mix'!$S$92*'II. Inputs, Baseline Energy Mix'!$S$16*AG252)</f>
        <v>0</v>
      </c>
      <c r="AH254" s="363">
        <f>IF('II. Inputs, Baseline Energy Mix'!$S$15=0,0,'II. Inputs, Baseline Energy Mix'!$S$92*'II. Inputs, Baseline Energy Mix'!$S$16*AH252)</f>
        <v>0</v>
      </c>
      <c r="AI254" s="363">
        <f>IF('II. Inputs, Baseline Energy Mix'!$S$15=0,0,'II. Inputs, Baseline Energy Mix'!$S$92*'II. Inputs, Baseline Energy Mix'!$S$16*AI252)</f>
        <v>0</v>
      </c>
      <c r="AJ254" s="363">
        <f>IF('II. Inputs, Baseline Energy Mix'!$S$15=0,0,'II. Inputs, Baseline Energy Mix'!$S$92*'II. Inputs, Baseline Energy Mix'!$S$16*AJ252)</f>
        <v>0</v>
      </c>
      <c r="AK254" s="363">
        <f>IF('II. Inputs, Baseline Energy Mix'!$S$15=0,0,'II. Inputs, Baseline Energy Mix'!$S$92*'II. Inputs, Baseline Energy Mix'!$S$16*AK252)</f>
        <v>0</v>
      </c>
      <c r="AL254" s="363">
        <f>IF('II. Inputs, Baseline Energy Mix'!$S$15=0,0,'II. Inputs, Baseline Energy Mix'!$S$92*'II. Inputs, Baseline Energy Mix'!$S$16*AL252)</f>
        <v>0</v>
      </c>
      <c r="AM254" s="363">
        <f>IF('II. Inputs, Baseline Energy Mix'!$S$15=0,0,'II. Inputs, Baseline Energy Mix'!$S$92*'II. Inputs, Baseline Energy Mix'!$S$16*AM252)</f>
        <v>0</v>
      </c>
      <c r="AN254" s="363">
        <f>IF('II. Inputs, Baseline Energy Mix'!$S$15=0,0,'II. Inputs, Baseline Energy Mix'!$S$92*'II. Inputs, Baseline Energy Mix'!$S$16*AN252)</f>
        <v>0</v>
      </c>
      <c r="AO254" s="363">
        <f>IF('II. Inputs, Baseline Energy Mix'!$S$15=0,0,'II. Inputs, Baseline Energy Mix'!$S$92*'II. Inputs, Baseline Energy Mix'!$S$16*AO252)</f>
        <v>0</v>
      </c>
      <c r="AP254" s="363">
        <f>IF('II. Inputs, Baseline Energy Mix'!$S$15=0,0,'II. Inputs, Baseline Energy Mix'!$S$92*'II. Inputs, Baseline Energy Mix'!$S$16*AP252)</f>
        <v>0</v>
      </c>
      <c r="AQ254" s="363">
        <f>IF('II. Inputs, Baseline Energy Mix'!$S$15=0,0,'II. Inputs, Baseline Energy Mix'!$S$92*'II. Inputs, Baseline Energy Mix'!$S$16*AQ252)</f>
        <v>0</v>
      </c>
      <c r="AR254" s="363">
        <f>IF('II. Inputs, Baseline Energy Mix'!$S$15=0,0,'II. Inputs, Baseline Energy Mix'!$S$92*'II. Inputs, Baseline Energy Mix'!$S$16*AR252)</f>
        <v>0</v>
      </c>
      <c r="AS254" s="363">
        <f>IF('II. Inputs, Baseline Energy Mix'!$S$15=0,0,'II. Inputs, Baseline Energy Mix'!$S$92*'II. Inputs, Baseline Energy Mix'!$S$16*AS252)</f>
        <v>0</v>
      </c>
      <c r="AT254" s="363">
        <f>IF('II. Inputs, Baseline Energy Mix'!$S$15=0,0,'II. Inputs, Baseline Energy Mix'!$S$92*'II. Inputs, Baseline Energy Mix'!$S$16*AT252)</f>
        <v>0</v>
      </c>
      <c r="AU254" s="363">
        <f>IF('II. Inputs, Baseline Energy Mix'!$S$15=0,0,'II. Inputs, Baseline Energy Mix'!$S$92*'II. Inputs, Baseline Energy Mix'!$S$16*AU252)</f>
        <v>0</v>
      </c>
      <c r="AV254" s="363">
        <f>IF('II. Inputs, Baseline Energy Mix'!$S$15=0,0,'II. Inputs, Baseline Energy Mix'!$S$92*'II. Inputs, Baseline Energy Mix'!$S$16*AV252)</f>
        <v>0</v>
      </c>
      <c r="AW254" s="363">
        <f>IF('II. Inputs, Baseline Energy Mix'!$S$15=0,0,'II. Inputs, Baseline Energy Mix'!$S$92*'II. Inputs, Baseline Energy Mix'!$S$16*AW252)</f>
        <v>0</v>
      </c>
      <c r="AX254" s="363">
        <f>IF('II. Inputs, Baseline Energy Mix'!$S$15=0,0,'II. Inputs, Baseline Energy Mix'!$S$92*'II. Inputs, Baseline Energy Mix'!$S$16*AX252)</f>
        <v>0</v>
      </c>
      <c r="AY254" s="363">
        <f>IF('II. Inputs, Baseline Energy Mix'!$S$15=0,0,'II. Inputs, Baseline Energy Mix'!$S$92*'II. Inputs, Baseline Energy Mix'!$S$16*AY252)</f>
        <v>0</v>
      </c>
      <c r="AZ254" s="363">
        <f>IF('II. Inputs, Baseline Energy Mix'!$S$15=0,0,'II. Inputs, Baseline Energy Mix'!$S$92*'II. Inputs, Baseline Energy Mix'!$S$16*AZ252)</f>
        <v>0</v>
      </c>
      <c r="BA254" s="363">
        <f>IF('II. Inputs, Baseline Energy Mix'!$S$15=0,0,'II. Inputs, Baseline Energy Mix'!$S$92*'II. Inputs, Baseline Energy Mix'!$S$16*BA252)</f>
        <v>0</v>
      </c>
      <c r="BB254" s="363">
        <f>IF('II. Inputs, Baseline Energy Mix'!$S$15=0,0,'II. Inputs, Baseline Energy Mix'!$S$92*'II. Inputs, Baseline Energy Mix'!$S$16*BB252)</f>
        <v>0</v>
      </c>
      <c r="BC254" s="363">
        <f>IF('II. Inputs, Baseline Energy Mix'!$S$15=0,0,'II. Inputs, Baseline Energy Mix'!$S$92*'II. Inputs, Baseline Energy Mix'!$S$16*BC252)</f>
        <v>0</v>
      </c>
      <c r="BD254" s="363">
        <f>IF('II. Inputs, Baseline Energy Mix'!$S$15=0,0,'II. Inputs, Baseline Energy Mix'!$S$92*'II. Inputs, Baseline Energy Mix'!$S$16*BD252)</f>
        <v>0</v>
      </c>
      <c r="BE254" s="364">
        <f>IF('II. Inputs, Baseline Energy Mix'!$S$15=0,0,'II. Inputs, Baseline Energy Mix'!$S$92*'II. Inputs, Baseline Energy Mix'!$S$16*BE252)</f>
        <v>0</v>
      </c>
    </row>
    <row r="255" spans="2:57" x14ac:dyDescent="0.25">
      <c r="B255" s="358"/>
      <c r="C255" s="359"/>
      <c r="D255" s="359"/>
      <c r="E255" s="362"/>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60"/>
    </row>
    <row r="256" spans="2:57" x14ac:dyDescent="0.25">
      <c r="B256" s="365" t="s">
        <v>99</v>
      </c>
      <c r="C256" s="366"/>
      <c r="D256" s="366"/>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7"/>
      <c r="AY256" s="367"/>
      <c r="AZ256" s="367"/>
      <c r="BA256" s="367"/>
      <c r="BB256" s="367"/>
      <c r="BC256" s="367"/>
      <c r="BD256" s="367"/>
      <c r="BE256" s="368"/>
    </row>
    <row r="257" spans="2:57" x14ac:dyDescent="0.25">
      <c r="B257" s="358"/>
      <c r="C257" s="359"/>
      <c r="D257" s="359"/>
      <c r="E257" s="362"/>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60"/>
    </row>
    <row r="258" spans="2:57" x14ac:dyDescent="0.25">
      <c r="B258" s="358" t="s">
        <v>137</v>
      </c>
      <c r="C258" s="359"/>
      <c r="D258" s="359"/>
      <c r="E258" s="362"/>
      <c r="F258" s="362" t="s">
        <v>22</v>
      </c>
      <c r="G258" s="1188"/>
      <c r="H258" s="1333">
        <f>IF('II. Inputs, Baseline Energy Mix'!$S$15=0,0,H252*'II. Inputs, Baseline Energy Mix'!$S$105*(1+'II. Inputs, Baseline Energy Mix'!$S$106)^('IV. LCOE, Baseline Energy Mix'!H$13-1))</f>
        <v>0</v>
      </c>
      <c r="I258" s="1333">
        <f>IF('II. Inputs, Baseline Energy Mix'!$S$15=0,0,I252*'II. Inputs, Baseline Energy Mix'!$S$105*(1+'II. Inputs, Baseline Energy Mix'!$S$106)^('IV. LCOE, Baseline Energy Mix'!I$13-1))</f>
        <v>0</v>
      </c>
      <c r="J258" s="1333">
        <f>IF('II. Inputs, Baseline Energy Mix'!$S$15=0,0,J252*'II. Inputs, Baseline Energy Mix'!$S$105*(1+'II. Inputs, Baseline Energy Mix'!$S$106)^('IV. LCOE, Baseline Energy Mix'!J$13-1))</f>
        <v>0</v>
      </c>
      <c r="K258" s="1333">
        <f>IF('II. Inputs, Baseline Energy Mix'!$S$15=0,0,K252*'II. Inputs, Baseline Energy Mix'!$S$105*(1+'II. Inputs, Baseline Energy Mix'!$S$106)^('IV. LCOE, Baseline Energy Mix'!K$13-1))</f>
        <v>0</v>
      </c>
      <c r="L258" s="1333">
        <f>IF('II. Inputs, Baseline Energy Mix'!$S$15=0,0,L252*'II. Inputs, Baseline Energy Mix'!$S$105*(1+'II. Inputs, Baseline Energy Mix'!$S$106)^('IV. LCOE, Baseline Energy Mix'!L$13-1))</f>
        <v>0</v>
      </c>
      <c r="M258" s="1333">
        <f>IF('II. Inputs, Baseline Energy Mix'!$S$15=0,0,M252*'II. Inputs, Baseline Energy Mix'!$S$105*(1+'II. Inputs, Baseline Energy Mix'!$S$106)^('IV. LCOE, Baseline Energy Mix'!M$13-1))</f>
        <v>0</v>
      </c>
      <c r="N258" s="1333">
        <f>IF('II. Inputs, Baseline Energy Mix'!$S$15=0,0,N252*'II. Inputs, Baseline Energy Mix'!$S$105*(1+'II. Inputs, Baseline Energy Mix'!$S$106)^('IV. LCOE, Baseline Energy Mix'!N$13-1))</f>
        <v>0</v>
      </c>
      <c r="O258" s="1333">
        <f>IF('II. Inputs, Baseline Energy Mix'!$S$15=0,0,O252*'II. Inputs, Baseline Energy Mix'!$S$105*(1+'II. Inputs, Baseline Energy Mix'!$S$106)^('IV. LCOE, Baseline Energy Mix'!O$13-1))</f>
        <v>0</v>
      </c>
      <c r="P258" s="1333">
        <f>IF('II. Inputs, Baseline Energy Mix'!$S$15=0,0,P252*'II. Inputs, Baseline Energy Mix'!$S$105*(1+'II. Inputs, Baseline Energy Mix'!$S$106)^('IV. LCOE, Baseline Energy Mix'!P$13-1))</f>
        <v>0</v>
      </c>
      <c r="Q258" s="1333">
        <f>IF('II. Inputs, Baseline Energy Mix'!$S$15=0,0,Q252*'II. Inputs, Baseline Energy Mix'!$S$105*(1+'II. Inputs, Baseline Energy Mix'!$S$106)^('IV. LCOE, Baseline Energy Mix'!Q$13-1))</f>
        <v>0</v>
      </c>
      <c r="R258" s="1333">
        <f>IF('II. Inputs, Baseline Energy Mix'!$S$15=0,0,R252*'II. Inputs, Baseline Energy Mix'!$S$105*(1+'II. Inputs, Baseline Energy Mix'!$S$106)^('IV. LCOE, Baseline Energy Mix'!R$13-1))</f>
        <v>0</v>
      </c>
      <c r="S258" s="1333">
        <f>IF('II. Inputs, Baseline Energy Mix'!$S$15=0,0,S252*'II. Inputs, Baseline Energy Mix'!$S$105*(1+'II. Inputs, Baseline Energy Mix'!$S$106)^('IV. LCOE, Baseline Energy Mix'!S$13-1))</f>
        <v>0</v>
      </c>
      <c r="T258" s="1333">
        <f>IF('II. Inputs, Baseline Energy Mix'!$S$15=0,0,T252*'II. Inputs, Baseline Energy Mix'!$S$105*(1+'II. Inputs, Baseline Energy Mix'!$S$106)^('IV. LCOE, Baseline Energy Mix'!T$13-1))</f>
        <v>0</v>
      </c>
      <c r="U258" s="1333">
        <f>IF('II. Inputs, Baseline Energy Mix'!$S$15=0,0,U252*'II. Inputs, Baseline Energy Mix'!$S$105*(1+'II. Inputs, Baseline Energy Mix'!$S$106)^('IV. LCOE, Baseline Energy Mix'!U$13-1))</f>
        <v>0</v>
      </c>
      <c r="V258" s="1333">
        <f>IF('II. Inputs, Baseline Energy Mix'!$S$15=0,0,V252*'II. Inputs, Baseline Energy Mix'!$S$105*(1+'II. Inputs, Baseline Energy Mix'!$S$106)^('IV. LCOE, Baseline Energy Mix'!V$13-1))</f>
        <v>0</v>
      </c>
      <c r="W258" s="1333">
        <f>IF('II. Inputs, Baseline Energy Mix'!$S$15=0,0,W252*'II. Inputs, Baseline Energy Mix'!$S$105*(1+'II. Inputs, Baseline Energy Mix'!$S$106)^('IV. LCOE, Baseline Energy Mix'!W$13-1))</f>
        <v>0</v>
      </c>
      <c r="X258" s="1333">
        <f>IF('II. Inputs, Baseline Energy Mix'!$S$15=0,0,X252*'II. Inputs, Baseline Energy Mix'!$S$105*(1+'II. Inputs, Baseline Energy Mix'!$S$106)^('IV. LCOE, Baseline Energy Mix'!X$13-1))</f>
        <v>0</v>
      </c>
      <c r="Y258" s="1333">
        <f>IF('II. Inputs, Baseline Energy Mix'!$S$15=0,0,Y252*'II. Inputs, Baseline Energy Mix'!$S$105*(1+'II. Inputs, Baseline Energy Mix'!$S$106)^('IV. LCOE, Baseline Energy Mix'!Y$13-1))</f>
        <v>0</v>
      </c>
      <c r="Z258" s="1333">
        <f>IF('II. Inputs, Baseline Energy Mix'!$S$15=0,0,Z252*'II. Inputs, Baseline Energy Mix'!$S$105*(1+'II. Inputs, Baseline Energy Mix'!$S$106)^('IV. LCOE, Baseline Energy Mix'!Z$13-1))</f>
        <v>0</v>
      </c>
      <c r="AA258" s="1333">
        <f>IF('II. Inputs, Baseline Energy Mix'!$S$15=0,0,AA252*'II. Inputs, Baseline Energy Mix'!$S$105*(1+'II. Inputs, Baseline Energy Mix'!$S$106)^('IV. LCOE, Baseline Energy Mix'!AA$13-1))</f>
        <v>0</v>
      </c>
      <c r="AB258" s="1333">
        <f>IF('II. Inputs, Baseline Energy Mix'!$S$15=0,0,AB252*'II. Inputs, Baseline Energy Mix'!$S$105*(1+'II. Inputs, Baseline Energy Mix'!$S$106)^('IV. LCOE, Baseline Energy Mix'!AB$13-1))</f>
        <v>0</v>
      </c>
      <c r="AC258" s="1333">
        <f>IF('II. Inputs, Baseline Energy Mix'!$S$15=0,0,AC252*'II. Inputs, Baseline Energy Mix'!$S$105*(1+'II. Inputs, Baseline Energy Mix'!$S$106)^('IV. LCOE, Baseline Energy Mix'!AC$13-1))</f>
        <v>0</v>
      </c>
      <c r="AD258" s="1333">
        <f>IF('II. Inputs, Baseline Energy Mix'!$S$15=0,0,AD252*'II. Inputs, Baseline Energy Mix'!$S$105*(1+'II. Inputs, Baseline Energy Mix'!$S$106)^('IV. LCOE, Baseline Energy Mix'!AD$13-1))</f>
        <v>0</v>
      </c>
      <c r="AE258" s="1333">
        <f>IF('II. Inputs, Baseline Energy Mix'!$S$15=0,0,AE252*'II. Inputs, Baseline Energy Mix'!$S$105*(1+'II. Inputs, Baseline Energy Mix'!$S$106)^('IV. LCOE, Baseline Energy Mix'!AE$13-1))</f>
        <v>0</v>
      </c>
      <c r="AF258" s="1333">
        <f>IF('II. Inputs, Baseline Energy Mix'!$S$15=0,0,AF252*'II. Inputs, Baseline Energy Mix'!$S$105*(1+'II. Inputs, Baseline Energy Mix'!$S$106)^('IV. LCOE, Baseline Energy Mix'!AF$13-1))</f>
        <v>0</v>
      </c>
      <c r="AG258" s="1333">
        <f>IF('II. Inputs, Baseline Energy Mix'!$S$15=0,0,AG252*'II. Inputs, Baseline Energy Mix'!$S$105*(1+'II. Inputs, Baseline Energy Mix'!$S$106)^('IV. LCOE, Baseline Energy Mix'!AG$13-1))</f>
        <v>0</v>
      </c>
      <c r="AH258" s="1333">
        <f>IF('II. Inputs, Baseline Energy Mix'!$S$15=0,0,AH252*'II. Inputs, Baseline Energy Mix'!$S$105*(1+'II. Inputs, Baseline Energy Mix'!$S$106)^('IV. LCOE, Baseline Energy Mix'!AH$13-1))</f>
        <v>0</v>
      </c>
      <c r="AI258" s="1333">
        <f>IF('II. Inputs, Baseline Energy Mix'!$S$15=0,0,AI252*'II. Inputs, Baseline Energy Mix'!$S$105*(1+'II. Inputs, Baseline Energy Mix'!$S$106)^('IV. LCOE, Baseline Energy Mix'!AI$13-1))</f>
        <v>0</v>
      </c>
      <c r="AJ258" s="1333">
        <f>IF('II. Inputs, Baseline Energy Mix'!$S$15=0,0,AJ252*'II. Inputs, Baseline Energy Mix'!$S$105*(1+'II. Inputs, Baseline Energy Mix'!$S$106)^('IV. LCOE, Baseline Energy Mix'!AJ$13-1))</f>
        <v>0</v>
      </c>
      <c r="AK258" s="1333">
        <f>IF('II. Inputs, Baseline Energy Mix'!$S$15=0,0,AK252*'II. Inputs, Baseline Energy Mix'!$S$105*(1+'II. Inputs, Baseline Energy Mix'!$S$106)^('IV. LCOE, Baseline Energy Mix'!AK$13-1))</f>
        <v>0</v>
      </c>
      <c r="AL258" s="1333">
        <f>IF('II. Inputs, Baseline Energy Mix'!$S$15=0,0,AL252*'II. Inputs, Baseline Energy Mix'!$S$105*(1+'II. Inputs, Baseline Energy Mix'!$S$106)^('IV. LCOE, Baseline Energy Mix'!AL$13-1))</f>
        <v>0</v>
      </c>
      <c r="AM258" s="1333">
        <f>IF('II. Inputs, Baseline Energy Mix'!$S$15=0,0,AM252*'II. Inputs, Baseline Energy Mix'!$S$105*(1+'II. Inputs, Baseline Energy Mix'!$S$106)^('IV. LCOE, Baseline Energy Mix'!AM$13-1))</f>
        <v>0</v>
      </c>
      <c r="AN258" s="1333">
        <f>IF('II. Inputs, Baseline Energy Mix'!$S$15=0,0,AN252*'II. Inputs, Baseline Energy Mix'!$S$105*(1+'II. Inputs, Baseline Energy Mix'!$S$106)^('IV. LCOE, Baseline Energy Mix'!AN$13-1))</f>
        <v>0</v>
      </c>
      <c r="AO258" s="1333">
        <f>IF('II. Inputs, Baseline Energy Mix'!$S$15=0,0,AO252*'II. Inputs, Baseline Energy Mix'!$S$105*(1+'II. Inputs, Baseline Energy Mix'!$S$106)^('IV. LCOE, Baseline Energy Mix'!AO$13-1))</f>
        <v>0</v>
      </c>
      <c r="AP258" s="1333">
        <f>IF('II. Inputs, Baseline Energy Mix'!$S$15=0,0,AP252*'II. Inputs, Baseline Energy Mix'!$S$105*(1+'II. Inputs, Baseline Energy Mix'!$S$106)^('IV. LCOE, Baseline Energy Mix'!AP$13-1))</f>
        <v>0</v>
      </c>
      <c r="AQ258" s="1333">
        <f>IF('II. Inputs, Baseline Energy Mix'!$S$15=0,0,AQ252*'II. Inputs, Baseline Energy Mix'!$S$105*(1+'II. Inputs, Baseline Energy Mix'!$S$106)^('IV. LCOE, Baseline Energy Mix'!AQ$13-1))</f>
        <v>0</v>
      </c>
      <c r="AR258" s="1333">
        <f>IF('II. Inputs, Baseline Energy Mix'!$S$15=0,0,AR252*'II. Inputs, Baseline Energy Mix'!$S$105*(1+'II. Inputs, Baseline Energy Mix'!$S$106)^('IV. LCOE, Baseline Energy Mix'!AR$13-1))</f>
        <v>0</v>
      </c>
      <c r="AS258" s="1333">
        <f>IF('II. Inputs, Baseline Energy Mix'!$S$15=0,0,AS252*'II. Inputs, Baseline Energy Mix'!$S$105*(1+'II. Inputs, Baseline Energy Mix'!$S$106)^('IV. LCOE, Baseline Energy Mix'!AS$13-1))</f>
        <v>0</v>
      </c>
      <c r="AT258" s="1333">
        <f>IF('II. Inputs, Baseline Energy Mix'!$S$15=0,0,AT252*'II. Inputs, Baseline Energy Mix'!$S$105*(1+'II. Inputs, Baseline Energy Mix'!$S$106)^('IV. LCOE, Baseline Energy Mix'!AT$13-1))</f>
        <v>0</v>
      </c>
      <c r="AU258" s="1333">
        <f>IF('II. Inputs, Baseline Energy Mix'!$S$15=0,0,AU252*'II. Inputs, Baseline Energy Mix'!$S$105*(1+'II. Inputs, Baseline Energy Mix'!$S$106)^('IV. LCOE, Baseline Energy Mix'!AU$13-1))</f>
        <v>0</v>
      </c>
      <c r="AV258" s="1333">
        <f>IF('II. Inputs, Baseline Energy Mix'!$S$15=0,0,AV252*'II. Inputs, Baseline Energy Mix'!$S$105*(1+'II. Inputs, Baseline Energy Mix'!$S$106)^('IV. LCOE, Baseline Energy Mix'!AV$13-1))</f>
        <v>0</v>
      </c>
      <c r="AW258" s="1333">
        <f>IF('II. Inputs, Baseline Energy Mix'!$S$15=0,0,AW252*'II. Inputs, Baseline Energy Mix'!$S$105*(1+'II. Inputs, Baseline Energy Mix'!$S$106)^('IV. LCOE, Baseline Energy Mix'!AW$13-1))</f>
        <v>0</v>
      </c>
      <c r="AX258" s="1333">
        <f>IF('II. Inputs, Baseline Energy Mix'!$S$15=0,0,AX252*'II. Inputs, Baseline Energy Mix'!$S$105*(1+'II. Inputs, Baseline Energy Mix'!$S$106)^('IV. LCOE, Baseline Energy Mix'!AX$13-1))</f>
        <v>0</v>
      </c>
      <c r="AY258" s="1333">
        <f>IF('II. Inputs, Baseline Energy Mix'!$S$15=0,0,AY252*'II. Inputs, Baseline Energy Mix'!$S$105*(1+'II. Inputs, Baseline Energy Mix'!$S$106)^('IV. LCOE, Baseline Energy Mix'!AY$13-1))</f>
        <v>0</v>
      </c>
      <c r="AZ258" s="1333">
        <f>IF('II. Inputs, Baseline Energy Mix'!$S$15=0,0,AZ252*'II. Inputs, Baseline Energy Mix'!$S$105*(1+'II. Inputs, Baseline Energy Mix'!$S$106)^('IV. LCOE, Baseline Energy Mix'!AZ$13-1))</f>
        <v>0</v>
      </c>
      <c r="BA258" s="1333">
        <f>IF('II. Inputs, Baseline Energy Mix'!$S$15=0,0,BA252*'II. Inputs, Baseline Energy Mix'!$S$105*(1+'II. Inputs, Baseline Energy Mix'!$S$106)^('IV. LCOE, Baseline Energy Mix'!BA$13-1))</f>
        <v>0</v>
      </c>
      <c r="BB258" s="1333">
        <f>IF('II. Inputs, Baseline Energy Mix'!$S$15=0,0,BB252*'II. Inputs, Baseline Energy Mix'!$S$105*(1+'II. Inputs, Baseline Energy Mix'!$S$106)^('IV. LCOE, Baseline Energy Mix'!BB$13-1))</f>
        <v>0</v>
      </c>
      <c r="BC258" s="1333">
        <f>IF('II. Inputs, Baseline Energy Mix'!$S$15=0,0,BC252*'II. Inputs, Baseline Energy Mix'!$S$105*(1+'II. Inputs, Baseline Energy Mix'!$S$106)^('IV. LCOE, Baseline Energy Mix'!BC$13-1))</f>
        <v>0</v>
      </c>
      <c r="BD258" s="1333">
        <f>IF('II. Inputs, Baseline Energy Mix'!$S$15=0,0,BD252*'II. Inputs, Baseline Energy Mix'!$S$105*(1+'II. Inputs, Baseline Energy Mix'!$S$106)^('IV. LCOE, Baseline Energy Mix'!BD$13-1))</f>
        <v>0</v>
      </c>
      <c r="BE258" s="1334">
        <f>IF('II. Inputs, Baseline Energy Mix'!$S$15=0,0,BE252*'II. Inputs, Baseline Energy Mix'!$S$105*(1+'II. Inputs, Baseline Energy Mix'!$S$106)^('IV. LCOE, Baseline Energy Mix'!BE$13-1))</f>
        <v>0</v>
      </c>
    </row>
    <row r="259" spans="2:57" x14ac:dyDescent="0.25">
      <c r="B259" s="358"/>
      <c r="C259" s="359"/>
      <c r="D259" s="359"/>
      <c r="E259" s="362"/>
      <c r="F259" s="362"/>
      <c r="G259" s="1188"/>
      <c r="H259" s="1189"/>
      <c r="I259" s="1189"/>
      <c r="J259" s="1189"/>
      <c r="K259" s="1189"/>
      <c r="L259" s="1189"/>
      <c r="M259" s="1189"/>
      <c r="N259" s="1189"/>
      <c r="O259" s="1189"/>
      <c r="P259" s="1189"/>
      <c r="Q259" s="1189"/>
      <c r="R259" s="1189"/>
      <c r="S259" s="1189"/>
      <c r="T259" s="1189"/>
      <c r="U259" s="1189"/>
      <c r="V259" s="1189"/>
      <c r="W259" s="1189"/>
      <c r="X259" s="1189"/>
      <c r="Y259" s="1189"/>
      <c r="Z259" s="1189"/>
      <c r="AA259" s="1189"/>
      <c r="AB259" s="1189"/>
      <c r="AC259" s="1189"/>
      <c r="AD259" s="1189"/>
      <c r="AE259" s="1189"/>
      <c r="AF259" s="1189"/>
      <c r="AG259" s="1189"/>
      <c r="AH259" s="1189"/>
      <c r="AI259" s="1189"/>
      <c r="AJ259" s="1189"/>
      <c r="AK259" s="1189"/>
      <c r="AL259" s="1189"/>
      <c r="AM259" s="1189"/>
      <c r="AN259" s="1189"/>
      <c r="AO259" s="1189"/>
      <c r="AP259" s="1189"/>
      <c r="AQ259" s="1189"/>
      <c r="AR259" s="1189"/>
      <c r="AS259" s="1189"/>
      <c r="AT259" s="1189"/>
      <c r="AU259" s="1189"/>
      <c r="AV259" s="1189"/>
      <c r="AW259" s="1189"/>
      <c r="AX259" s="1189"/>
      <c r="AY259" s="1189"/>
      <c r="AZ259" s="1189"/>
      <c r="BA259" s="1189"/>
      <c r="BB259" s="1189"/>
      <c r="BC259" s="1189"/>
      <c r="BD259" s="1189"/>
      <c r="BE259" s="1190"/>
    </row>
    <row r="260" spans="2:57" x14ac:dyDescent="0.25">
      <c r="B260" s="358" t="s">
        <v>38</v>
      </c>
      <c r="C260" s="359"/>
      <c r="D260" s="359"/>
      <c r="E260" s="362"/>
      <c r="F260" s="362" t="s">
        <v>626</v>
      </c>
      <c r="G260" s="1188"/>
      <c r="H260" s="1331">
        <f>IF('II. Inputs, Baseline Energy Mix'!$S$96="Model Default",'IV. LCOE, Baseline Energy Mix'!H261,IF('II. Inputs, Baseline Energy Mix'!$S$96="User-defined, annually adjusted",'IV. LCOE, Baseline Energy Mix'!H262,IF('II. Inputs, Baseline Energy Mix'!$S$96="Manual Entry",'IV. LCOE, Baseline Energy Mix'!H264,H263)))</f>
        <v>0</v>
      </c>
      <c r="I260" s="1331">
        <f>IF('II. Inputs, Baseline Energy Mix'!$S$96="Model Default",'IV. LCOE, Baseline Energy Mix'!I261,IF('II. Inputs, Baseline Energy Mix'!$S$96="User-defined, annually adjusted",'IV. LCOE, Baseline Energy Mix'!I262,IF('II. Inputs, Baseline Energy Mix'!$S$96="Manual Entry",'IV. LCOE, Baseline Energy Mix'!I264,I263)))</f>
        <v>0</v>
      </c>
      <c r="J260" s="1331">
        <f>IF('II. Inputs, Baseline Energy Mix'!$S$96="Model Default",'IV. LCOE, Baseline Energy Mix'!J261,IF('II. Inputs, Baseline Energy Mix'!$S$96="User-defined, annually adjusted",'IV. LCOE, Baseline Energy Mix'!J262,IF('II. Inputs, Baseline Energy Mix'!$S$96="Manual Entry",'IV. LCOE, Baseline Energy Mix'!J264,J263)))</f>
        <v>0</v>
      </c>
      <c r="K260" s="1331">
        <f>IF('II. Inputs, Baseline Energy Mix'!$S$96="Model Default",'IV. LCOE, Baseline Energy Mix'!K261,IF('II. Inputs, Baseline Energy Mix'!$S$96="User-defined, annually adjusted",'IV. LCOE, Baseline Energy Mix'!K262,IF('II. Inputs, Baseline Energy Mix'!$S$96="Manual Entry",'IV. LCOE, Baseline Energy Mix'!K264,K263)))</f>
        <v>0</v>
      </c>
      <c r="L260" s="1331">
        <f>IF('II. Inputs, Baseline Energy Mix'!$S$96="Model Default",'IV. LCOE, Baseline Energy Mix'!L261,IF('II. Inputs, Baseline Energy Mix'!$S$96="User-defined, annually adjusted",'IV. LCOE, Baseline Energy Mix'!L262,IF('II. Inputs, Baseline Energy Mix'!$S$96="Manual Entry",'IV. LCOE, Baseline Energy Mix'!L264,L263)))</f>
        <v>0</v>
      </c>
      <c r="M260" s="1331">
        <f>IF('II. Inputs, Baseline Energy Mix'!$S$96="Model Default",'IV. LCOE, Baseline Energy Mix'!M261,IF('II. Inputs, Baseline Energy Mix'!$S$96="User-defined, annually adjusted",'IV. LCOE, Baseline Energy Mix'!M262,IF('II. Inputs, Baseline Energy Mix'!$S$96="Manual Entry",'IV. LCOE, Baseline Energy Mix'!M264,M263)))</f>
        <v>0</v>
      </c>
      <c r="N260" s="1331">
        <f>IF('II. Inputs, Baseline Energy Mix'!$S$96="Model Default",'IV. LCOE, Baseline Energy Mix'!N261,IF('II. Inputs, Baseline Energy Mix'!$S$96="User-defined, annually adjusted",'IV. LCOE, Baseline Energy Mix'!N262,IF('II. Inputs, Baseline Energy Mix'!$S$96="Manual Entry",'IV. LCOE, Baseline Energy Mix'!N264,N263)))</f>
        <v>0</v>
      </c>
      <c r="O260" s="1331">
        <f>IF('II. Inputs, Baseline Energy Mix'!$S$96="Model Default",'IV. LCOE, Baseline Energy Mix'!O261,IF('II. Inputs, Baseline Energy Mix'!$S$96="User-defined, annually adjusted",'IV. LCOE, Baseline Energy Mix'!O262,IF('II. Inputs, Baseline Energy Mix'!$S$96="Manual Entry",'IV. LCOE, Baseline Energy Mix'!O264,O263)))</f>
        <v>0</v>
      </c>
      <c r="P260" s="1331">
        <f>IF('II. Inputs, Baseline Energy Mix'!$S$96="Model Default",'IV. LCOE, Baseline Energy Mix'!P261,IF('II. Inputs, Baseline Energy Mix'!$S$96="User-defined, annually adjusted",'IV. LCOE, Baseline Energy Mix'!P262,IF('II. Inputs, Baseline Energy Mix'!$S$96="Manual Entry",'IV. LCOE, Baseline Energy Mix'!P264,P263)))</f>
        <v>0</v>
      </c>
      <c r="Q260" s="1331">
        <f>IF('II. Inputs, Baseline Energy Mix'!$S$96="Model Default",'IV. LCOE, Baseline Energy Mix'!Q261,IF('II. Inputs, Baseline Energy Mix'!$S$96="User-defined, annually adjusted",'IV. LCOE, Baseline Energy Mix'!Q262,IF('II. Inputs, Baseline Energy Mix'!$S$96="Manual Entry",'IV. LCOE, Baseline Energy Mix'!Q264,Q263)))</f>
        <v>0</v>
      </c>
      <c r="R260" s="1331">
        <f>IF('II. Inputs, Baseline Energy Mix'!$S$96="Model Default",'IV. LCOE, Baseline Energy Mix'!R261,IF('II. Inputs, Baseline Energy Mix'!$S$96="User-defined, annually adjusted",'IV. LCOE, Baseline Energy Mix'!R262,IF('II. Inputs, Baseline Energy Mix'!$S$96="Manual Entry",'IV. LCOE, Baseline Energy Mix'!R264,R263)))</f>
        <v>0</v>
      </c>
      <c r="S260" s="1331">
        <f>IF('II. Inputs, Baseline Energy Mix'!$S$96="Model Default",'IV. LCOE, Baseline Energy Mix'!S261,IF('II. Inputs, Baseline Energy Mix'!$S$96="User-defined, annually adjusted",'IV. LCOE, Baseline Energy Mix'!S262,IF('II. Inputs, Baseline Energy Mix'!$S$96="Manual Entry",'IV. LCOE, Baseline Energy Mix'!S264,S263)))</f>
        <v>0</v>
      </c>
      <c r="T260" s="1331">
        <f>IF('II. Inputs, Baseline Energy Mix'!$S$96="Model Default",'IV. LCOE, Baseline Energy Mix'!T261,IF('II. Inputs, Baseline Energy Mix'!$S$96="User-defined, annually adjusted",'IV. LCOE, Baseline Energy Mix'!T262,IF('II. Inputs, Baseline Energy Mix'!$S$96="Manual Entry",'IV. LCOE, Baseline Energy Mix'!T264,T263)))</f>
        <v>0</v>
      </c>
      <c r="U260" s="1331">
        <f>IF('II. Inputs, Baseline Energy Mix'!$S$96="Model Default",'IV. LCOE, Baseline Energy Mix'!U261,IF('II. Inputs, Baseline Energy Mix'!$S$96="User-defined, annually adjusted",'IV. LCOE, Baseline Energy Mix'!U262,IF('II. Inputs, Baseline Energy Mix'!$S$96="Manual Entry",'IV. LCOE, Baseline Energy Mix'!U264,U263)))</f>
        <v>0</v>
      </c>
      <c r="V260" s="1331">
        <f>IF('II. Inputs, Baseline Energy Mix'!$S$96="Model Default",'IV. LCOE, Baseline Energy Mix'!V261,IF('II. Inputs, Baseline Energy Mix'!$S$96="User-defined, annually adjusted",'IV. LCOE, Baseline Energy Mix'!V262,IF('II. Inputs, Baseline Energy Mix'!$S$96="Manual Entry",'IV. LCOE, Baseline Energy Mix'!V264,V263)))</f>
        <v>0</v>
      </c>
      <c r="W260" s="1331">
        <f>IF('II. Inputs, Baseline Energy Mix'!$S$96="Model Default",'IV. LCOE, Baseline Energy Mix'!W261,IF('II. Inputs, Baseline Energy Mix'!$S$96="User-defined, annually adjusted",'IV. LCOE, Baseline Energy Mix'!W262,IF('II. Inputs, Baseline Energy Mix'!$S$96="Manual Entry",'IV. LCOE, Baseline Energy Mix'!W264,W263)))</f>
        <v>0</v>
      </c>
      <c r="X260" s="1331">
        <f>IF('II. Inputs, Baseline Energy Mix'!$S$96="Model Default",'IV. LCOE, Baseline Energy Mix'!X261,IF('II. Inputs, Baseline Energy Mix'!$S$96="User-defined, annually adjusted",'IV. LCOE, Baseline Energy Mix'!X262,IF('II. Inputs, Baseline Energy Mix'!$S$96="Manual Entry",'IV. LCOE, Baseline Energy Mix'!X264,X263)))</f>
        <v>0</v>
      </c>
      <c r="Y260" s="1331">
        <f>IF('II. Inputs, Baseline Energy Mix'!$S$96="Model Default",'IV. LCOE, Baseline Energy Mix'!Y261,IF('II. Inputs, Baseline Energy Mix'!$S$96="User-defined, annually adjusted",'IV. LCOE, Baseline Energy Mix'!Y262,IF('II. Inputs, Baseline Energy Mix'!$S$96="Manual Entry",'IV. LCOE, Baseline Energy Mix'!Y264,Y263)))</f>
        <v>0</v>
      </c>
      <c r="Z260" s="1331">
        <f>IF('II. Inputs, Baseline Energy Mix'!$S$96="Model Default",'IV. LCOE, Baseline Energy Mix'!Z261,IF('II. Inputs, Baseline Energy Mix'!$S$96="User-defined, annually adjusted",'IV. LCOE, Baseline Energy Mix'!Z262,IF('II. Inputs, Baseline Energy Mix'!$S$96="Manual Entry",'IV. LCOE, Baseline Energy Mix'!Z264,Z263)))</f>
        <v>0</v>
      </c>
      <c r="AA260" s="1331">
        <f>IF('II. Inputs, Baseline Energy Mix'!$S$96="Model Default",'IV. LCOE, Baseline Energy Mix'!AA261,IF('II. Inputs, Baseline Energy Mix'!$S$96="User-defined, annually adjusted",'IV. LCOE, Baseline Energy Mix'!AA262,IF('II. Inputs, Baseline Energy Mix'!$S$96="Manual Entry",'IV. LCOE, Baseline Energy Mix'!AA264,AA263)))</f>
        <v>0</v>
      </c>
      <c r="AB260" s="1331">
        <f>IF('II. Inputs, Baseline Energy Mix'!$S$96="Model Default",'IV. LCOE, Baseline Energy Mix'!AB261,IF('II. Inputs, Baseline Energy Mix'!$S$96="User-defined, annually adjusted",'IV. LCOE, Baseline Energy Mix'!AB262,IF('II. Inputs, Baseline Energy Mix'!$S$96="Manual Entry",'IV. LCOE, Baseline Energy Mix'!AB264,AB263)))</f>
        <v>0</v>
      </c>
      <c r="AC260" s="1331">
        <f>IF('II. Inputs, Baseline Energy Mix'!$S$96="Model Default",'IV. LCOE, Baseline Energy Mix'!AC261,IF('II. Inputs, Baseline Energy Mix'!$S$96="User-defined, annually adjusted",'IV. LCOE, Baseline Energy Mix'!AC262,IF('II. Inputs, Baseline Energy Mix'!$S$96="Manual Entry",'IV. LCOE, Baseline Energy Mix'!AC264,AC263)))</f>
        <v>0</v>
      </c>
      <c r="AD260" s="1331">
        <f>IF('II. Inputs, Baseline Energy Mix'!$S$96="Model Default",'IV. LCOE, Baseline Energy Mix'!AD261,IF('II. Inputs, Baseline Energy Mix'!$S$96="User-defined, annually adjusted",'IV. LCOE, Baseline Energy Mix'!AD262,IF('II. Inputs, Baseline Energy Mix'!$S$96="Manual Entry",'IV. LCOE, Baseline Energy Mix'!AD264,AD263)))</f>
        <v>0</v>
      </c>
      <c r="AE260" s="1331">
        <f>IF('II. Inputs, Baseline Energy Mix'!$S$96="Model Default",'IV. LCOE, Baseline Energy Mix'!AE261,IF('II. Inputs, Baseline Energy Mix'!$S$96="User-defined, annually adjusted",'IV. LCOE, Baseline Energy Mix'!AE262,IF('II. Inputs, Baseline Energy Mix'!$S$96="Manual Entry",'IV. LCOE, Baseline Energy Mix'!AE264,AE263)))</f>
        <v>0</v>
      </c>
      <c r="AF260" s="1331">
        <f>IF('II. Inputs, Baseline Energy Mix'!$S$96="Model Default",'IV. LCOE, Baseline Energy Mix'!AF261,IF('II. Inputs, Baseline Energy Mix'!$S$96="User-defined, annually adjusted",'IV. LCOE, Baseline Energy Mix'!AF262,IF('II. Inputs, Baseline Energy Mix'!$S$96="Manual Entry",'IV. LCOE, Baseline Energy Mix'!AF264,AF263)))</f>
        <v>0</v>
      </c>
      <c r="AG260" s="1331">
        <f>IF('II. Inputs, Baseline Energy Mix'!$S$96="Model Default",'IV. LCOE, Baseline Energy Mix'!AG261,IF('II. Inputs, Baseline Energy Mix'!$S$96="User-defined, annually adjusted",'IV. LCOE, Baseline Energy Mix'!AG262,IF('II. Inputs, Baseline Energy Mix'!$S$96="Manual Entry",'IV. LCOE, Baseline Energy Mix'!AG264,AG263)))</f>
        <v>0</v>
      </c>
      <c r="AH260" s="1331">
        <f>IF('II. Inputs, Baseline Energy Mix'!$S$96="Model Default",'IV. LCOE, Baseline Energy Mix'!AH261,IF('II. Inputs, Baseline Energy Mix'!$S$96="User-defined, annually adjusted",'IV. LCOE, Baseline Energy Mix'!AH262,IF('II. Inputs, Baseline Energy Mix'!$S$96="Manual Entry",'IV. LCOE, Baseline Energy Mix'!AH264,AH263)))</f>
        <v>0</v>
      </c>
      <c r="AI260" s="1331">
        <f>IF('II. Inputs, Baseline Energy Mix'!$S$96="Model Default",'IV. LCOE, Baseline Energy Mix'!AI261,IF('II. Inputs, Baseline Energy Mix'!$S$96="User-defined, annually adjusted",'IV. LCOE, Baseline Energy Mix'!AI262,IF('II. Inputs, Baseline Energy Mix'!$S$96="Manual Entry",'IV. LCOE, Baseline Energy Mix'!AI264,AI263)))</f>
        <v>0</v>
      </c>
      <c r="AJ260" s="1331">
        <f>IF('II. Inputs, Baseline Energy Mix'!$S$96="Model Default",'IV. LCOE, Baseline Energy Mix'!AJ261,IF('II. Inputs, Baseline Energy Mix'!$S$96="User-defined, annually adjusted",'IV. LCOE, Baseline Energy Mix'!AJ262,IF('II. Inputs, Baseline Energy Mix'!$S$96="Manual Entry",'IV. LCOE, Baseline Energy Mix'!AJ264,AJ263)))</f>
        <v>0</v>
      </c>
      <c r="AK260" s="1331">
        <f>IF('II. Inputs, Baseline Energy Mix'!$S$96="Model Default",'IV. LCOE, Baseline Energy Mix'!AK261,IF('II. Inputs, Baseline Energy Mix'!$S$96="User-defined, annually adjusted",'IV. LCOE, Baseline Energy Mix'!AK262,IF('II. Inputs, Baseline Energy Mix'!$S$96="Manual Entry",'IV. LCOE, Baseline Energy Mix'!AK264,AK263)))</f>
        <v>0</v>
      </c>
      <c r="AL260" s="1331">
        <f>IF('II. Inputs, Baseline Energy Mix'!$S$96="Model Default",'IV. LCOE, Baseline Energy Mix'!AL261,IF('II. Inputs, Baseline Energy Mix'!$S$96="User-defined, annually adjusted",'IV. LCOE, Baseline Energy Mix'!AL262,IF('II. Inputs, Baseline Energy Mix'!$S$96="Manual Entry",'IV. LCOE, Baseline Energy Mix'!AL264,AL263)))</f>
        <v>0</v>
      </c>
      <c r="AM260" s="1331">
        <f>IF('II. Inputs, Baseline Energy Mix'!$S$96="Model Default",'IV. LCOE, Baseline Energy Mix'!AM261,IF('II. Inputs, Baseline Energy Mix'!$S$96="User-defined, annually adjusted",'IV. LCOE, Baseline Energy Mix'!AM262,IF('II. Inputs, Baseline Energy Mix'!$S$96="Manual Entry",'IV. LCOE, Baseline Energy Mix'!AM264,AM263)))</f>
        <v>0</v>
      </c>
      <c r="AN260" s="1331">
        <f>IF('II. Inputs, Baseline Energy Mix'!$S$96="Model Default",'IV. LCOE, Baseline Energy Mix'!AN261,IF('II. Inputs, Baseline Energy Mix'!$S$96="User-defined, annually adjusted",'IV. LCOE, Baseline Energy Mix'!AN262,IF('II. Inputs, Baseline Energy Mix'!$S$96="Manual Entry",'IV. LCOE, Baseline Energy Mix'!AN264,AN263)))</f>
        <v>0</v>
      </c>
      <c r="AO260" s="1331">
        <f>IF('II. Inputs, Baseline Energy Mix'!$S$96="Model Default",'IV. LCOE, Baseline Energy Mix'!AO261,IF('II. Inputs, Baseline Energy Mix'!$S$96="User-defined, annually adjusted",'IV. LCOE, Baseline Energy Mix'!AO262,IF('II. Inputs, Baseline Energy Mix'!$S$96="Manual Entry",'IV. LCOE, Baseline Energy Mix'!AO264,AO263)))</f>
        <v>0</v>
      </c>
      <c r="AP260" s="1331">
        <f>IF('II. Inputs, Baseline Energy Mix'!$S$96="Model Default",'IV. LCOE, Baseline Energy Mix'!AP261,IF('II. Inputs, Baseline Energy Mix'!$S$96="User-defined, annually adjusted",'IV. LCOE, Baseline Energy Mix'!AP262,IF('II. Inputs, Baseline Energy Mix'!$S$96="Manual Entry",'IV. LCOE, Baseline Energy Mix'!AP264,AP263)))</f>
        <v>0</v>
      </c>
      <c r="AQ260" s="1331">
        <f>IF('II. Inputs, Baseline Energy Mix'!$S$96="Model Default",'IV. LCOE, Baseline Energy Mix'!AQ261,IF('II. Inputs, Baseline Energy Mix'!$S$96="User-defined, annually adjusted",'IV. LCOE, Baseline Energy Mix'!AQ262,IF('II. Inputs, Baseline Energy Mix'!$S$96="Manual Entry",'IV. LCOE, Baseline Energy Mix'!AQ264,AQ263)))</f>
        <v>0</v>
      </c>
      <c r="AR260" s="1331">
        <f>IF('II. Inputs, Baseline Energy Mix'!$S$96="Model Default",'IV. LCOE, Baseline Energy Mix'!AR261,IF('II. Inputs, Baseline Energy Mix'!$S$96="User-defined, annually adjusted",'IV. LCOE, Baseline Energy Mix'!AR262,IF('II. Inputs, Baseline Energy Mix'!$S$96="Manual Entry",'IV. LCOE, Baseline Energy Mix'!AR264,AR263)))</f>
        <v>0</v>
      </c>
      <c r="AS260" s="1331">
        <f>IF('II. Inputs, Baseline Energy Mix'!$S$96="Model Default",'IV. LCOE, Baseline Energy Mix'!AS261,IF('II. Inputs, Baseline Energy Mix'!$S$96="User-defined, annually adjusted",'IV. LCOE, Baseline Energy Mix'!AS262,IF('II. Inputs, Baseline Energy Mix'!$S$96="Manual Entry",'IV. LCOE, Baseline Energy Mix'!AS264,AS263)))</f>
        <v>0</v>
      </c>
      <c r="AT260" s="1331">
        <f>IF('II. Inputs, Baseline Energy Mix'!$S$96="Model Default",'IV. LCOE, Baseline Energy Mix'!AT261,IF('II. Inputs, Baseline Energy Mix'!$S$96="User-defined, annually adjusted",'IV. LCOE, Baseline Energy Mix'!AT262,IF('II. Inputs, Baseline Energy Mix'!$S$96="Manual Entry",'IV. LCOE, Baseline Energy Mix'!AT264,AT263)))</f>
        <v>0</v>
      </c>
      <c r="AU260" s="1331">
        <f>IF('II. Inputs, Baseline Energy Mix'!$S$96="Model Default",'IV. LCOE, Baseline Energy Mix'!AU261,IF('II. Inputs, Baseline Energy Mix'!$S$96="User-defined, annually adjusted",'IV. LCOE, Baseline Energy Mix'!AU262,IF('II. Inputs, Baseline Energy Mix'!$S$96="Manual Entry",'IV. LCOE, Baseline Energy Mix'!AU264,AU263)))</f>
        <v>0</v>
      </c>
      <c r="AV260" s="1331">
        <f>IF('II. Inputs, Baseline Energy Mix'!$S$96="Model Default",'IV. LCOE, Baseline Energy Mix'!AV261,IF('II. Inputs, Baseline Energy Mix'!$S$96="User-defined, annually adjusted",'IV. LCOE, Baseline Energy Mix'!AV262,IF('II. Inputs, Baseline Energy Mix'!$S$96="Manual Entry",'IV. LCOE, Baseline Energy Mix'!AV264,AV263)))</f>
        <v>0</v>
      </c>
      <c r="AW260" s="1331">
        <f>IF('II. Inputs, Baseline Energy Mix'!$S$96="Model Default",'IV. LCOE, Baseline Energy Mix'!AW261,IF('II. Inputs, Baseline Energy Mix'!$S$96="User-defined, annually adjusted",'IV. LCOE, Baseline Energy Mix'!AW262,IF('II. Inputs, Baseline Energy Mix'!$S$96="Manual Entry",'IV. LCOE, Baseline Energy Mix'!AW264,AW263)))</f>
        <v>0</v>
      </c>
      <c r="AX260" s="1331">
        <f>IF('II. Inputs, Baseline Energy Mix'!$S$96="Model Default",'IV. LCOE, Baseline Energy Mix'!AX261,IF('II. Inputs, Baseline Energy Mix'!$S$96="User-defined, annually adjusted",'IV. LCOE, Baseline Energy Mix'!AX262,IF('II. Inputs, Baseline Energy Mix'!$S$96="Manual Entry",'IV. LCOE, Baseline Energy Mix'!AX264,AX263)))</f>
        <v>0</v>
      </c>
      <c r="AY260" s="1331">
        <f>IF('II. Inputs, Baseline Energy Mix'!$S$96="Model Default",'IV. LCOE, Baseline Energy Mix'!AY261,IF('II. Inputs, Baseline Energy Mix'!$S$96="User-defined, annually adjusted",'IV. LCOE, Baseline Energy Mix'!AY262,IF('II. Inputs, Baseline Energy Mix'!$S$96="Manual Entry",'IV. LCOE, Baseline Energy Mix'!AY264,AY263)))</f>
        <v>0</v>
      </c>
      <c r="AZ260" s="1331">
        <f>IF('II. Inputs, Baseline Energy Mix'!$S$96="Model Default",'IV. LCOE, Baseline Energy Mix'!AZ261,IF('II. Inputs, Baseline Energy Mix'!$S$96="User-defined, annually adjusted",'IV. LCOE, Baseline Energy Mix'!AZ262,IF('II. Inputs, Baseline Energy Mix'!$S$96="Manual Entry",'IV. LCOE, Baseline Energy Mix'!AZ264,AZ263)))</f>
        <v>0</v>
      </c>
      <c r="BA260" s="1331">
        <f>IF('II. Inputs, Baseline Energy Mix'!$S$96="Model Default",'IV. LCOE, Baseline Energy Mix'!BA261,IF('II. Inputs, Baseline Energy Mix'!$S$96="User-defined, annually adjusted",'IV. LCOE, Baseline Energy Mix'!BA262,IF('II. Inputs, Baseline Energy Mix'!$S$96="Manual Entry",'IV. LCOE, Baseline Energy Mix'!BA264,BA263)))</f>
        <v>0</v>
      </c>
      <c r="BB260" s="1331">
        <f>IF('II. Inputs, Baseline Energy Mix'!$S$96="Model Default",'IV. LCOE, Baseline Energy Mix'!BB261,IF('II. Inputs, Baseline Energy Mix'!$S$96="User-defined, annually adjusted",'IV. LCOE, Baseline Energy Mix'!BB262,IF('II. Inputs, Baseline Energy Mix'!$S$96="Manual Entry",'IV. LCOE, Baseline Energy Mix'!BB264,BB263)))</f>
        <v>0</v>
      </c>
      <c r="BC260" s="1331">
        <f>IF('II. Inputs, Baseline Energy Mix'!$S$96="Model Default",'IV. LCOE, Baseline Energy Mix'!BC261,IF('II. Inputs, Baseline Energy Mix'!$S$96="User-defined, annually adjusted",'IV. LCOE, Baseline Energy Mix'!BC262,IF('II. Inputs, Baseline Energy Mix'!$S$96="Manual Entry",'IV. LCOE, Baseline Energy Mix'!BC264,BC263)))</f>
        <v>0</v>
      </c>
      <c r="BD260" s="1331">
        <f>IF('II. Inputs, Baseline Energy Mix'!$S$96="Model Default",'IV. LCOE, Baseline Energy Mix'!BD261,IF('II. Inputs, Baseline Energy Mix'!$S$96="User-defined, annually adjusted",'IV. LCOE, Baseline Energy Mix'!BD262,IF('II. Inputs, Baseline Energy Mix'!$S$96="Manual Entry",'IV. LCOE, Baseline Energy Mix'!BD264,BD263)))</f>
        <v>0</v>
      </c>
      <c r="BE260" s="1332">
        <f>IF('II. Inputs, Baseline Energy Mix'!$S$96="Model Default",'IV. LCOE, Baseline Energy Mix'!BE261,IF('II. Inputs, Baseline Energy Mix'!$S$96="User-defined, annually adjusted",'IV. LCOE, Baseline Energy Mix'!BE262,IF('II. Inputs, Baseline Energy Mix'!$S$96="Manual Entry",'IV. LCOE, Baseline Energy Mix'!BE264,BE263)))</f>
        <v>0</v>
      </c>
    </row>
    <row r="261" spans="2:57" outlineLevel="1" x14ac:dyDescent="0.25">
      <c r="B261" s="358"/>
      <c r="C261" s="359" t="s">
        <v>159</v>
      </c>
      <c r="D261" s="359"/>
      <c r="E261" s="362"/>
      <c r="F261" s="362"/>
      <c r="G261" s="1188"/>
      <c r="H261" s="1331">
        <f>H252*VLOOKUP('IV. LCOE, Baseline Energy Mix'!H$13,'VII. Additional Data'!$C$17:$V$66,8, FALSE)</f>
        <v>0</v>
      </c>
      <c r="I261" s="1331">
        <f>I252*VLOOKUP('IV. LCOE, Baseline Energy Mix'!I$13,'VII. Additional Data'!$C$17:$V$66,8, FALSE)</f>
        <v>0</v>
      </c>
      <c r="J261" s="1331">
        <f>J252*VLOOKUP('IV. LCOE, Baseline Energy Mix'!J$13,'VII. Additional Data'!$C$17:$V$66,8, FALSE)</f>
        <v>0</v>
      </c>
      <c r="K261" s="1331">
        <f>K252*VLOOKUP('IV. LCOE, Baseline Energy Mix'!K$13,'VII. Additional Data'!$C$17:$V$66,8, FALSE)</f>
        <v>0</v>
      </c>
      <c r="L261" s="1331">
        <f>L252*VLOOKUP('IV. LCOE, Baseline Energy Mix'!L$13,'VII. Additional Data'!$C$17:$V$66,8, FALSE)</f>
        <v>0</v>
      </c>
      <c r="M261" s="1331">
        <f>M252*VLOOKUP('IV. LCOE, Baseline Energy Mix'!M$13,'VII. Additional Data'!$C$17:$V$66,8, FALSE)</f>
        <v>0</v>
      </c>
      <c r="N261" s="1331">
        <f>N252*VLOOKUP('IV. LCOE, Baseline Energy Mix'!N$13,'VII. Additional Data'!$C$17:$V$66,8, FALSE)</f>
        <v>0</v>
      </c>
      <c r="O261" s="1331">
        <f>O252*VLOOKUP('IV. LCOE, Baseline Energy Mix'!O$13,'VII. Additional Data'!$C$17:$V$66,8, FALSE)</f>
        <v>0</v>
      </c>
      <c r="P261" s="1331">
        <f>P252*VLOOKUP('IV. LCOE, Baseline Energy Mix'!P$13,'VII. Additional Data'!$C$17:$V$66,8, FALSE)</f>
        <v>0</v>
      </c>
      <c r="Q261" s="1331">
        <f>Q252*VLOOKUP('IV. LCOE, Baseline Energy Mix'!Q$13,'VII. Additional Data'!$C$17:$V$66,8, FALSE)</f>
        <v>0</v>
      </c>
      <c r="R261" s="1331">
        <f>R252*VLOOKUP('IV. LCOE, Baseline Energy Mix'!R$13,'VII. Additional Data'!$C$17:$V$66,8, FALSE)</f>
        <v>0</v>
      </c>
      <c r="S261" s="1331">
        <f>S252*VLOOKUP('IV. LCOE, Baseline Energy Mix'!S$13,'VII. Additional Data'!$C$17:$V$66,8, FALSE)</f>
        <v>0</v>
      </c>
      <c r="T261" s="1331">
        <f>T252*VLOOKUP('IV. LCOE, Baseline Energy Mix'!T$13,'VII. Additional Data'!$C$17:$V$66,8, FALSE)</f>
        <v>0</v>
      </c>
      <c r="U261" s="1331">
        <f>U252*VLOOKUP('IV. LCOE, Baseline Energy Mix'!U$13,'VII. Additional Data'!$C$17:$V$66,8, FALSE)</f>
        <v>0</v>
      </c>
      <c r="V261" s="1331">
        <f>V252*VLOOKUP('IV. LCOE, Baseline Energy Mix'!V$13,'VII. Additional Data'!$C$17:$V$66,8, FALSE)</f>
        <v>0</v>
      </c>
      <c r="W261" s="1331">
        <f>W252*VLOOKUP('IV. LCOE, Baseline Energy Mix'!W$13,'VII. Additional Data'!$C$17:$V$66,8, FALSE)</f>
        <v>0</v>
      </c>
      <c r="X261" s="1331">
        <f>X252*VLOOKUP('IV. LCOE, Baseline Energy Mix'!X$13,'VII. Additional Data'!$C$17:$V$66,8, FALSE)</f>
        <v>0</v>
      </c>
      <c r="Y261" s="1331">
        <f>Y252*VLOOKUP('IV. LCOE, Baseline Energy Mix'!Y$13,'VII. Additional Data'!$C$17:$V$66,8, FALSE)</f>
        <v>0</v>
      </c>
      <c r="Z261" s="1331">
        <f>Z252*VLOOKUP('IV. LCOE, Baseline Energy Mix'!Z$13,'VII. Additional Data'!$C$17:$V$66,8, FALSE)</f>
        <v>0</v>
      </c>
      <c r="AA261" s="1331">
        <f>AA252*VLOOKUP('IV. LCOE, Baseline Energy Mix'!AA$13,'VII. Additional Data'!$C$17:$V$66,8, FALSE)</f>
        <v>0</v>
      </c>
      <c r="AB261" s="1331">
        <f>AB252*VLOOKUP('IV. LCOE, Baseline Energy Mix'!AB$13,'VII. Additional Data'!$C$17:$V$66,8, FALSE)</f>
        <v>0</v>
      </c>
      <c r="AC261" s="1331">
        <f>AC252*VLOOKUP('IV. LCOE, Baseline Energy Mix'!AC$13,'VII. Additional Data'!$C$17:$V$66,8, FALSE)</f>
        <v>0</v>
      </c>
      <c r="AD261" s="1331">
        <f>AD252*VLOOKUP('IV. LCOE, Baseline Energy Mix'!AD$13,'VII. Additional Data'!$C$17:$V$66,8, FALSE)</f>
        <v>0</v>
      </c>
      <c r="AE261" s="1331">
        <f>AE252*VLOOKUP('IV. LCOE, Baseline Energy Mix'!AE$13,'VII. Additional Data'!$C$17:$V$66,8, FALSE)</f>
        <v>0</v>
      </c>
      <c r="AF261" s="1331">
        <f>AF252*VLOOKUP('IV. LCOE, Baseline Energy Mix'!AF$13,'VII. Additional Data'!$C$17:$V$66,8, FALSE)</f>
        <v>0</v>
      </c>
      <c r="AG261" s="1331">
        <f>AG252*VLOOKUP('IV. LCOE, Baseline Energy Mix'!AG$13,'VII. Additional Data'!$C$17:$V$66,8, FALSE)</f>
        <v>0</v>
      </c>
      <c r="AH261" s="1331">
        <f>AH252*VLOOKUP('IV. LCOE, Baseline Energy Mix'!AH$13,'VII. Additional Data'!$C$17:$V$66,8, FALSE)</f>
        <v>0</v>
      </c>
      <c r="AI261" s="1331">
        <f>AI252*VLOOKUP('IV. LCOE, Baseline Energy Mix'!AI$13,'VII. Additional Data'!$C$17:$V$66,8, FALSE)</f>
        <v>0</v>
      </c>
      <c r="AJ261" s="1331">
        <f>AJ252*VLOOKUP('IV. LCOE, Baseline Energy Mix'!AJ$13,'VII. Additional Data'!$C$17:$V$66,8, FALSE)</f>
        <v>0</v>
      </c>
      <c r="AK261" s="1331">
        <f>AK252*VLOOKUP('IV. LCOE, Baseline Energy Mix'!AK$13,'VII. Additional Data'!$C$17:$V$66,8, FALSE)</f>
        <v>0</v>
      </c>
      <c r="AL261" s="1331">
        <f>AL252*VLOOKUP('IV. LCOE, Baseline Energy Mix'!AL$13,'VII. Additional Data'!$C$17:$V$66,8, FALSE)</f>
        <v>0</v>
      </c>
      <c r="AM261" s="1331">
        <f>AM252*VLOOKUP('IV. LCOE, Baseline Energy Mix'!AM$13,'VII. Additional Data'!$C$17:$V$66,8, FALSE)</f>
        <v>0</v>
      </c>
      <c r="AN261" s="1331">
        <f>AN252*VLOOKUP('IV. LCOE, Baseline Energy Mix'!AN$13,'VII. Additional Data'!$C$17:$V$66,8, FALSE)</f>
        <v>0</v>
      </c>
      <c r="AO261" s="1331">
        <f>AO252*VLOOKUP('IV. LCOE, Baseline Energy Mix'!AO$13,'VII. Additional Data'!$C$17:$V$66,8, FALSE)</f>
        <v>0</v>
      </c>
      <c r="AP261" s="1331">
        <f>AP252*VLOOKUP('IV. LCOE, Baseline Energy Mix'!AP$13,'VII. Additional Data'!$C$17:$V$66,8, FALSE)</f>
        <v>0</v>
      </c>
      <c r="AQ261" s="1331">
        <f>AQ252*VLOOKUP('IV. LCOE, Baseline Energy Mix'!AQ$13,'VII. Additional Data'!$C$17:$V$66,8, FALSE)</f>
        <v>0</v>
      </c>
      <c r="AR261" s="1331">
        <f>AR252*VLOOKUP('IV. LCOE, Baseline Energy Mix'!AR$13,'VII. Additional Data'!$C$17:$V$66,8, FALSE)</f>
        <v>0</v>
      </c>
      <c r="AS261" s="1331">
        <f>AS252*VLOOKUP('IV. LCOE, Baseline Energy Mix'!AS$13,'VII. Additional Data'!$C$17:$V$66,8, FALSE)</f>
        <v>0</v>
      </c>
      <c r="AT261" s="1331">
        <f>AT252*VLOOKUP('IV. LCOE, Baseline Energy Mix'!AT$13,'VII. Additional Data'!$C$17:$V$66,8, FALSE)</f>
        <v>0</v>
      </c>
      <c r="AU261" s="1331">
        <f>AU252*VLOOKUP('IV. LCOE, Baseline Energy Mix'!AU$13,'VII. Additional Data'!$C$17:$V$66,8, FALSE)</f>
        <v>0</v>
      </c>
      <c r="AV261" s="1331">
        <f>AV252*VLOOKUP('IV. LCOE, Baseline Energy Mix'!AV$13,'VII. Additional Data'!$C$17:$V$66,8, FALSE)</f>
        <v>0</v>
      </c>
      <c r="AW261" s="1331">
        <f>AW252*VLOOKUP('IV. LCOE, Baseline Energy Mix'!AW$13,'VII. Additional Data'!$C$17:$V$66,8, FALSE)</f>
        <v>0</v>
      </c>
      <c r="AX261" s="1331">
        <f>AX252*VLOOKUP('IV. LCOE, Baseline Energy Mix'!AX$13,'VII. Additional Data'!$C$17:$V$66,8, FALSE)</f>
        <v>0</v>
      </c>
      <c r="AY261" s="1331">
        <f>AY252*VLOOKUP('IV. LCOE, Baseline Energy Mix'!AY$13,'VII. Additional Data'!$C$17:$V$66,8, FALSE)</f>
        <v>0</v>
      </c>
      <c r="AZ261" s="1331">
        <f>AZ252*VLOOKUP('IV. LCOE, Baseline Energy Mix'!AZ$13,'VII. Additional Data'!$C$17:$V$66,8, FALSE)</f>
        <v>0</v>
      </c>
      <c r="BA261" s="1331">
        <f>BA252*VLOOKUP('IV. LCOE, Baseline Energy Mix'!BA$13,'VII. Additional Data'!$C$17:$V$66,8, FALSE)</f>
        <v>0</v>
      </c>
      <c r="BB261" s="1331">
        <f>BB252*VLOOKUP('IV. LCOE, Baseline Energy Mix'!BB$13,'VII. Additional Data'!$C$17:$V$66,8, FALSE)</f>
        <v>0</v>
      </c>
      <c r="BC261" s="1331">
        <f>BC252*VLOOKUP('IV. LCOE, Baseline Energy Mix'!BC$13,'VII. Additional Data'!$C$17:$V$66,8, FALSE)</f>
        <v>0</v>
      </c>
      <c r="BD261" s="1331">
        <f>BD252*VLOOKUP('IV. LCOE, Baseline Energy Mix'!BD$13,'VII. Additional Data'!$C$17:$V$66,8, FALSE)</f>
        <v>0</v>
      </c>
      <c r="BE261" s="1332">
        <f>BE252*VLOOKUP('IV. LCOE, Baseline Energy Mix'!BE$13,'VII. Additional Data'!$C$17:$V$66,8, FALSE)</f>
        <v>0</v>
      </c>
    </row>
    <row r="262" spans="2:57" outlineLevel="1" x14ac:dyDescent="0.25">
      <c r="B262" s="358"/>
      <c r="C262" s="359" t="s">
        <v>160</v>
      </c>
      <c r="D262" s="359"/>
      <c r="E262" s="362"/>
      <c r="F262" s="362"/>
      <c r="G262" s="1188"/>
      <c r="H262" s="1331">
        <f>H252*'II. Inputs, Baseline Energy Mix'!$S$98*(1+'II. Inputs, Baseline Energy Mix'!$S$99)^('IV. LCOE, Baseline Energy Mix'!H$13-1)</f>
        <v>0</v>
      </c>
      <c r="I262" s="1331">
        <f>I252*'II. Inputs, Baseline Energy Mix'!$S$98*(1+'II. Inputs, Baseline Energy Mix'!$S$99)^('IV. LCOE, Baseline Energy Mix'!I$13-1)</f>
        <v>0</v>
      </c>
      <c r="J262" s="1331">
        <f>J252*'II. Inputs, Baseline Energy Mix'!$S$98*(1+'II. Inputs, Baseline Energy Mix'!$S$99)^('IV. LCOE, Baseline Energy Mix'!J$13-1)</f>
        <v>0</v>
      </c>
      <c r="K262" s="1331">
        <f>K252*'II. Inputs, Baseline Energy Mix'!$S$98*(1+'II. Inputs, Baseline Energy Mix'!$S$99)^('IV. LCOE, Baseline Energy Mix'!K$13-1)</f>
        <v>0</v>
      </c>
      <c r="L262" s="1331">
        <f>L252*'II. Inputs, Baseline Energy Mix'!$S$98*(1+'II. Inputs, Baseline Energy Mix'!$S$99)^('IV. LCOE, Baseline Energy Mix'!L$13-1)</f>
        <v>0</v>
      </c>
      <c r="M262" s="1331">
        <f>M252*'II. Inputs, Baseline Energy Mix'!$S$98*(1+'II. Inputs, Baseline Energy Mix'!$S$99)^('IV. LCOE, Baseline Energy Mix'!M$13-1)</f>
        <v>0</v>
      </c>
      <c r="N262" s="1331">
        <f>N252*'II. Inputs, Baseline Energy Mix'!$S$98*(1+'II. Inputs, Baseline Energy Mix'!$S$99)^('IV. LCOE, Baseline Energy Mix'!N$13-1)</f>
        <v>0</v>
      </c>
      <c r="O262" s="1331">
        <f>O252*'II. Inputs, Baseline Energy Mix'!$S$98*(1+'II. Inputs, Baseline Energy Mix'!$S$99)^('IV. LCOE, Baseline Energy Mix'!O$13-1)</f>
        <v>0</v>
      </c>
      <c r="P262" s="1331">
        <f>P252*'II. Inputs, Baseline Energy Mix'!$S$98*(1+'II. Inputs, Baseline Energy Mix'!$S$99)^('IV. LCOE, Baseline Energy Mix'!P$13-1)</f>
        <v>0</v>
      </c>
      <c r="Q262" s="1331">
        <f>Q252*'II. Inputs, Baseline Energy Mix'!$S$98*(1+'II. Inputs, Baseline Energy Mix'!$S$99)^('IV. LCOE, Baseline Energy Mix'!Q$13-1)</f>
        <v>0</v>
      </c>
      <c r="R262" s="1331">
        <f>R252*'II. Inputs, Baseline Energy Mix'!$S$98*(1+'II. Inputs, Baseline Energy Mix'!$S$99)^('IV. LCOE, Baseline Energy Mix'!R$13-1)</f>
        <v>0</v>
      </c>
      <c r="S262" s="1331">
        <f>S252*'II. Inputs, Baseline Energy Mix'!$S$98*(1+'II. Inputs, Baseline Energy Mix'!$S$99)^('IV. LCOE, Baseline Energy Mix'!S$13-1)</f>
        <v>0</v>
      </c>
      <c r="T262" s="1331">
        <f>T252*'II. Inputs, Baseline Energy Mix'!$S$98*(1+'II. Inputs, Baseline Energy Mix'!$S$99)^('IV. LCOE, Baseline Energy Mix'!T$13-1)</f>
        <v>0</v>
      </c>
      <c r="U262" s="1331">
        <f>U252*'II. Inputs, Baseline Energy Mix'!$S$98*(1+'II. Inputs, Baseline Energy Mix'!$S$99)^('IV. LCOE, Baseline Energy Mix'!U$13-1)</f>
        <v>0</v>
      </c>
      <c r="V262" s="1331">
        <f>V252*'II. Inputs, Baseline Energy Mix'!$S$98*(1+'II. Inputs, Baseline Energy Mix'!$S$99)^('IV. LCOE, Baseline Energy Mix'!V$13-1)</f>
        <v>0</v>
      </c>
      <c r="W262" s="1331">
        <f>W252*'II. Inputs, Baseline Energy Mix'!$S$98*(1+'II. Inputs, Baseline Energy Mix'!$S$99)^('IV. LCOE, Baseline Energy Mix'!W$13-1)</f>
        <v>0</v>
      </c>
      <c r="X262" s="1331">
        <f>X252*'II. Inputs, Baseline Energy Mix'!$S$98*(1+'II. Inputs, Baseline Energy Mix'!$S$99)^('IV. LCOE, Baseline Energy Mix'!X$13-1)</f>
        <v>0</v>
      </c>
      <c r="Y262" s="1331">
        <f>Y252*'II. Inputs, Baseline Energy Mix'!$S$98*(1+'II. Inputs, Baseline Energy Mix'!$S$99)^('IV. LCOE, Baseline Energy Mix'!Y$13-1)</f>
        <v>0</v>
      </c>
      <c r="Z262" s="1331">
        <f>Z252*'II. Inputs, Baseline Energy Mix'!$S$98*(1+'II. Inputs, Baseline Energy Mix'!$S$99)^('IV. LCOE, Baseline Energy Mix'!Z$13-1)</f>
        <v>0</v>
      </c>
      <c r="AA262" s="1331">
        <f>AA252*'II. Inputs, Baseline Energy Mix'!$S$98*(1+'II. Inputs, Baseline Energy Mix'!$S$99)^('IV. LCOE, Baseline Energy Mix'!AA$13-1)</f>
        <v>0</v>
      </c>
      <c r="AB262" s="1331">
        <f>AB252*'II. Inputs, Baseline Energy Mix'!$S$98*(1+'II. Inputs, Baseline Energy Mix'!$S$99)^('IV. LCOE, Baseline Energy Mix'!AB$13-1)</f>
        <v>0</v>
      </c>
      <c r="AC262" s="1331">
        <f>AC252*'II. Inputs, Baseline Energy Mix'!$S$98*(1+'II. Inputs, Baseline Energy Mix'!$S$99)^('IV. LCOE, Baseline Energy Mix'!AC$13-1)</f>
        <v>0</v>
      </c>
      <c r="AD262" s="1331">
        <f>AD252*'II. Inputs, Baseline Energy Mix'!$S$98*(1+'II. Inputs, Baseline Energy Mix'!$S$99)^('IV. LCOE, Baseline Energy Mix'!AD$13-1)</f>
        <v>0</v>
      </c>
      <c r="AE262" s="1331">
        <f>AE252*'II. Inputs, Baseline Energy Mix'!$S$98*(1+'II. Inputs, Baseline Energy Mix'!$S$99)^('IV. LCOE, Baseline Energy Mix'!AE$13-1)</f>
        <v>0</v>
      </c>
      <c r="AF262" s="1331">
        <f>AF252*'II. Inputs, Baseline Energy Mix'!$S$98*(1+'II. Inputs, Baseline Energy Mix'!$S$99)^('IV. LCOE, Baseline Energy Mix'!AF$13-1)</f>
        <v>0</v>
      </c>
      <c r="AG262" s="1331">
        <f>AG252*'II. Inputs, Baseline Energy Mix'!$S$98*(1+'II. Inputs, Baseline Energy Mix'!$S$99)^('IV. LCOE, Baseline Energy Mix'!AG$13-1)</f>
        <v>0</v>
      </c>
      <c r="AH262" s="1331">
        <f>AH252*'II. Inputs, Baseline Energy Mix'!$S$98*(1+'II. Inputs, Baseline Energy Mix'!$S$99)^('IV. LCOE, Baseline Energy Mix'!AH$13-1)</f>
        <v>0</v>
      </c>
      <c r="AI262" s="1331">
        <f>AI252*'II. Inputs, Baseline Energy Mix'!$S$98*(1+'II. Inputs, Baseline Energy Mix'!$S$99)^('IV. LCOE, Baseline Energy Mix'!AI$13-1)</f>
        <v>0</v>
      </c>
      <c r="AJ262" s="1331">
        <f>AJ252*'II. Inputs, Baseline Energy Mix'!$S$98*(1+'II. Inputs, Baseline Energy Mix'!$S$99)^('IV. LCOE, Baseline Energy Mix'!AJ$13-1)</f>
        <v>0</v>
      </c>
      <c r="AK262" s="1331">
        <f>AK252*'II. Inputs, Baseline Energy Mix'!$S$98*(1+'II. Inputs, Baseline Energy Mix'!$S$99)^('IV. LCOE, Baseline Energy Mix'!AK$13-1)</f>
        <v>0</v>
      </c>
      <c r="AL262" s="1331">
        <f>AL252*'II. Inputs, Baseline Energy Mix'!$S$98*(1+'II. Inputs, Baseline Energy Mix'!$S$99)^('IV. LCOE, Baseline Energy Mix'!AL$13-1)</f>
        <v>0</v>
      </c>
      <c r="AM262" s="1331">
        <f>AM252*'II. Inputs, Baseline Energy Mix'!$S$98*(1+'II. Inputs, Baseline Energy Mix'!$S$99)^('IV. LCOE, Baseline Energy Mix'!AM$13-1)</f>
        <v>0</v>
      </c>
      <c r="AN262" s="1331">
        <f>AN252*'II. Inputs, Baseline Energy Mix'!$S$98*(1+'II. Inputs, Baseline Energy Mix'!$S$99)^('IV. LCOE, Baseline Energy Mix'!AN$13-1)</f>
        <v>0</v>
      </c>
      <c r="AO262" s="1331">
        <f>AO252*'II. Inputs, Baseline Energy Mix'!$S$98*(1+'II. Inputs, Baseline Energy Mix'!$S$99)^('IV. LCOE, Baseline Energy Mix'!AO$13-1)</f>
        <v>0</v>
      </c>
      <c r="AP262" s="1331">
        <f>AP252*'II. Inputs, Baseline Energy Mix'!$S$98*(1+'II. Inputs, Baseline Energy Mix'!$S$99)^('IV. LCOE, Baseline Energy Mix'!AP$13-1)</f>
        <v>0</v>
      </c>
      <c r="AQ262" s="1331">
        <f>AQ252*'II. Inputs, Baseline Energy Mix'!$S$98*(1+'II. Inputs, Baseline Energy Mix'!$S$99)^('IV. LCOE, Baseline Energy Mix'!AQ$13-1)</f>
        <v>0</v>
      </c>
      <c r="AR262" s="1331">
        <f>AR252*'II. Inputs, Baseline Energy Mix'!$S$98*(1+'II. Inputs, Baseline Energy Mix'!$S$99)^('IV. LCOE, Baseline Energy Mix'!AR$13-1)</f>
        <v>0</v>
      </c>
      <c r="AS262" s="1331">
        <f>AS252*'II. Inputs, Baseline Energy Mix'!$S$98*(1+'II. Inputs, Baseline Energy Mix'!$S$99)^('IV. LCOE, Baseline Energy Mix'!AS$13-1)</f>
        <v>0</v>
      </c>
      <c r="AT262" s="1331">
        <f>AT252*'II. Inputs, Baseline Energy Mix'!$S$98*(1+'II. Inputs, Baseline Energy Mix'!$S$99)^('IV. LCOE, Baseline Energy Mix'!AT$13-1)</f>
        <v>0</v>
      </c>
      <c r="AU262" s="1331">
        <f>AU252*'II. Inputs, Baseline Energy Mix'!$S$98*(1+'II. Inputs, Baseline Energy Mix'!$S$99)^('IV. LCOE, Baseline Energy Mix'!AU$13-1)</f>
        <v>0</v>
      </c>
      <c r="AV262" s="1331">
        <f>AV252*'II. Inputs, Baseline Energy Mix'!$S$98*(1+'II. Inputs, Baseline Energy Mix'!$S$99)^('IV. LCOE, Baseline Energy Mix'!AV$13-1)</f>
        <v>0</v>
      </c>
      <c r="AW262" s="1331">
        <f>AW252*'II. Inputs, Baseline Energy Mix'!$S$98*(1+'II. Inputs, Baseline Energy Mix'!$S$99)^('IV. LCOE, Baseline Energy Mix'!AW$13-1)</f>
        <v>0</v>
      </c>
      <c r="AX262" s="1331">
        <f>AX252*'II. Inputs, Baseline Energy Mix'!$S$98*(1+'II. Inputs, Baseline Energy Mix'!$S$99)^('IV. LCOE, Baseline Energy Mix'!AX$13-1)</f>
        <v>0</v>
      </c>
      <c r="AY262" s="1331">
        <f>AY252*'II. Inputs, Baseline Energy Mix'!$S$98*(1+'II. Inputs, Baseline Energy Mix'!$S$99)^('IV. LCOE, Baseline Energy Mix'!AY$13-1)</f>
        <v>0</v>
      </c>
      <c r="AZ262" s="1331">
        <f>AZ252*'II. Inputs, Baseline Energy Mix'!$S$98*(1+'II. Inputs, Baseline Energy Mix'!$S$99)^('IV. LCOE, Baseline Energy Mix'!AZ$13-1)</f>
        <v>0</v>
      </c>
      <c r="BA262" s="1331">
        <f>BA252*'II. Inputs, Baseline Energy Mix'!$S$98*(1+'II. Inputs, Baseline Energy Mix'!$S$99)^('IV. LCOE, Baseline Energy Mix'!BA$13-1)</f>
        <v>0</v>
      </c>
      <c r="BB262" s="1331">
        <f>BB252*'II. Inputs, Baseline Energy Mix'!$S$98*(1+'II. Inputs, Baseline Energy Mix'!$S$99)^('IV. LCOE, Baseline Energy Mix'!BB$13-1)</f>
        <v>0</v>
      </c>
      <c r="BC262" s="1331">
        <f>BC252*'II. Inputs, Baseline Energy Mix'!$S$98*(1+'II. Inputs, Baseline Energy Mix'!$S$99)^('IV. LCOE, Baseline Energy Mix'!BC$13-1)</f>
        <v>0</v>
      </c>
      <c r="BD262" s="1331">
        <f>BD252*'II. Inputs, Baseline Energy Mix'!$S$98*(1+'II. Inputs, Baseline Energy Mix'!$S$99)^('IV. LCOE, Baseline Energy Mix'!BD$13-1)</f>
        <v>0</v>
      </c>
      <c r="BE262" s="1332">
        <f>BE252*'II. Inputs, Baseline Energy Mix'!$S$98*(1+'II. Inputs, Baseline Energy Mix'!$S$99)^('IV. LCOE, Baseline Energy Mix'!BE$13-1)</f>
        <v>0</v>
      </c>
    </row>
    <row r="263" spans="2:57" outlineLevel="1" x14ac:dyDescent="0.25">
      <c r="B263" s="358"/>
      <c r="C263" s="359" t="s">
        <v>161</v>
      </c>
      <c r="D263" s="359"/>
      <c r="E263" s="362"/>
      <c r="F263" s="362"/>
      <c r="G263" s="1188"/>
      <c r="H263" s="1331">
        <f xml:space="preserve"> H252*VLOOKUP('IV. LCOE, Baseline Energy Mix'!H$13,'VII. Additional Data'!$C$17:$V$66,14, FALSE)</f>
        <v>0</v>
      </c>
      <c r="I263" s="1331">
        <f xml:space="preserve"> I252*VLOOKUP('IV. LCOE, Baseline Energy Mix'!I$13,'VII. Additional Data'!$C$17:$V$66,14, FALSE)</f>
        <v>0</v>
      </c>
      <c r="J263" s="1331">
        <f xml:space="preserve"> J252*VLOOKUP('IV. LCOE, Baseline Energy Mix'!J$13,'VII. Additional Data'!$C$17:$V$66,14, FALSE)</f>
        <v>0</v>
      </c>
      <c r="K263" s="1331">
        <f xml:space="preserve"> K252*VLOOKUP('IV. LCOE, Baseline Energy Mix'!K$13,'VII. Additional Data'!$C$17:$V$66,14, FALSE)</f>
        <v>0</v>
      </c>
      <c r="L263" s="1331">
        <f xml:space="preserve"> L252*VLOOKUP('IV. LCOE, Baseline Energy Mix'!L$13,'VII. Additional Data'!$C$17:$V$66,14, FALSE)</f>
        <v>0</v>
      </c>
      <c r="M263" s="1331">
        <f xml:space="preserve"> M252*VLOOKUP('IV. LCOE, Baseline Energy Mix'!M$13,'VII. Additional Data'!$C$17:$V$66,14, FALSE)</f>
        <v>0</v>
      </c>
      <c r="N263" s="1331">
        <f xml:space="preserve"> N252*VLOOKUP('IV. LCOE, Baseline Energy Mix'!N$13,'VII. Additional Data'!$C$17:$V$66,14, FALSE)</f>
        <v>0</v>
      </c>
      <c r="O263" s="1331">
        <f xml:space="preserve"> O252*VLOOKUP('IV. LCOE, Baseline Energy Mix'!O$13,'VII. Additional Data'!$C$17:$V$66,14, FALSE)</f>
        <v>0</v>
      </c>
      <c r="P263" s="1331">
        <f xml:space="preserve"> P252*VLOOKUP('IV. LCOE, Baseline Energy Mix'!P$13,'VII. Additional Data'!$C$17:$V$66,14, FALSE)</f>
        <v>0</v>
      </c>
      <c r="Q263" s="1331">
        <f xml:space="preserve"> Q252*VLOOKUP('IV. LCOE, Baseline Energy Mix'!Q$13,'VII. Additional Data'!$C$17:$V$66,14, FALSE)</f>
        <v>0</v>
      </c>
      <c r="R263" s="1331">
        <f xml:space="preserve"> R252*VLOOKUP('IV. LCOE, Baseline Energy Mix'!R$13,'VII. Additional Data'!$C$17:$V$66,14, FALSE)</f>
        <v>0</v>
      </c>
      <c r="S263" s="1331">
        <f xml:space="preserve"> S252*VLOOKUP('IV. LCOE, Baseline Energy Mix'!S$13,'VII. Additional Data'!$C$17:$V$66,14, FALSE)</f>
        <v>0</v>
      </c>
      <c r="T263" s="1331">
        <f xml:space="preserve"> T252*VLOOKUP('IV. LCOE, Baseline Energy Mix'!T$13,'VII. Additional Data'!$C$17:$V$66,14, FALSE)</f>
        <v>0</v>
      </c>
      <c r="U263" s="1331">
        <f xml:space="preserve"> U252*VLOOKUP('IV. LCOE, Baseline Energy Mix'!U$13,'VII. Additional Data'!$C$17:$V$66,14, FALSE)</f>
        <v>0</v>
      </c>
      <c r="V263" s="1331">
        <f xml:space="preserve"> V252*VLOOKUP('IV. LCOE, Baseline Energy Mix'!V$13,'VII. Additional Data'!$C$17:$V$66,14, FALSE)</f>
        <v>0</v>
      </c>
      <c r="W263" s="1331">
        <f xml:space="preserve"> W252*VLOOKUP('IV. LCOE, Baseline Energy Mix'!W$13,'VII. Additional Data'!$C$17:$V$66,14, FALSE)</f>
        <v>0</v>
      </c>
      <c r="X263" s="1331">
        <f xml:space="preserve"> X252*VLOOKUP('IV. LCOE, Baseline Energy Mix'!X$13,'VII. Additional Data'!$C$17:$V$66,14, FALSE)</f>
        <v>0</v>
      </c>
      <c r="Y263" s="1331">
        <f xml:space="preserve"> Y252*VLOOKUP('IV. LCOE, Baseline Energy Mix'!Y$13,'VII. Additional Data'!$C$17:$V$66,14, FALSE)</f>
        <v>0</v>
      </c>
      <c r="Z263" s="1331">
        <f xml:space="preserve"> Z252*VLOOKUP('IV. LCOE, Baseline Energy Mix'!Z$13,'VII. Additional Data'!$C$17:$V$66,14, FALSE)</f>
        <v>0</v>
      </c>
      <c r="AA263" s="1331">
        <f xml:space="preserve"> AA252*VLOOKUP('IV. LCOE, Baseline Energy Mix'!AA$13,'VII. Additional Data'!$C$17:$V$66,14, FALSE)</f>
        <v>0</v>
      </c>
      <c r="AB263" s="1331">
        <f xml:space="preserve"> AB252*VLOOKUP('IV. LCOE, Baseline Energy Mix'!AB$13,'VII. Additional Data'!$C$17:$V$66,14, FALSE)</f>
        <v>0</v>
      </c>
      <c r="AC263" s="1331">
        <f xml:space="preserve"> AC252*VLOOKUP('IV. LCOE, Baseline Energy Mix'!AC$13,'VII. Additional Data'!$C$17:$V$66,14, FALSE)</f>
        <v>0</v>
      </c>
      <c r="AD263" s="1331">
        <f xml:space="preserve"> AD252*VLOOKUP('IV. LCOE, Baseline Energy Mix'!AD$13,'VII. Additional Data'!$C$17:$V$66,14, FALSE)</f>
        <v>0</v>
      </c>
      <c r="AE263" s="1331">
        <f xml:space="preserve"> AE252*VLOOKUP('IV. LCOE, Baseline Energy Mix'!AE$13,'VII. Additional Data'!$C$17:$V$66,14, FALSE)</f>
        <v>0</v>
      </c>
      <c r="AF263" s="1331">
        <f xml:space="preserve"> AF252*VLOOKUP('IV. LCOE, Baseline Energy Mix'!AF$13,'VII. Additional Data'!$C$17:$V$66,14, FALSE)</f>
        <v>0</v>
      </c>
      <c r="AG263" s="1331">
        <f xml:space="preserve"> AG252*VLOOKUP('IV. LCOE, Baseline Energy Mix'!AG$13,'VII. Additional Data'!$C$17:$V$66,14, FALSE)</f>
        <v>0</v>
      </c>
      <c r="AH263" s="1331">
        <f xml:space="preserve"> AH252*VLOOKUP('IV. LCOE, Baseline Energy Mix'!AH$13,'VII. Additional Data'!$C$17:$V$66,14, FALSE)</f>
        <v>0</v>
      </c>
      <c r="AI263" s="1331">
        <f xml:space="preserve"> AI252*VLOOKUP('IV. LCOE, Baseline Energy Mix'!AI$13,'VII. Additional Data'!$C$17:$V$66,14, FALSE)</f>
        <v>0</v>
      </c>
      <c r="AJ263" s="1331">
        <f xml:space="preserve"> AJ252*VLOOKUP('IV. LCOE, Baseline Energy Mix'!AJ$13,'VII. Additional Data'!$C$17:$V$66,14, FALSE)</f>
        <v>0</v>
      </c>
      <c r="AK263" s="1331">
        <f xml:space="preserve"> AK252*VLOOKUP('IV. LCOE, Baseline Energy Mix'!AK$13,'VII. Additional Data'!$C$17:$V$66,14, FALSE)</f>
        <v>0</v>
      </c>
      <c r="AL263" s="1331">
        <f xml:space="preserve"> AL252*VLOOKUP('IV. LCOE, Baseline Energy Mix'!AL$13,'VII. Additional Data'!$C$17:$V$66,14, FALSE)</f>
        <v>0</v>
      </c>
      <c r="AM263" s="1331">
        <f xml:space="preserve"> AM252*VLOOKUP('IV. LCOE, Baseline Energy Mix'!AM$13,'VII. Additional Data'!$C$17:$V$66,14, FALSE)</f>
        <v>0</v>
      </c>
      <c r="AN263" s="1331">
        <f xml:space="preserve"> AN252*VLOOKUP('IV. LCOE, Baseline Energy Mix'!AN$13,'VII. Additional Data'!$C$17:$V$66,14, FALSE)</f>
        <v>0</v>
      </c>
      <c r="AO263" s="1331">
        <f xml:space="preserve"> AO252*VLOOKUP('IV. LCOE, Baseline Energy Mix'!AO$13,'VII. Additional Data'!$C$17:$V$66,14, FALSE)</f>
        <v>0</v>
      </c>
      <c r="AP263" s="1331">
        <f xml:space="preserve"> AP252*VLOOKUP('IV. LCOE, Baseline Energy Mix'!AP$13,'VII. Additional Data'!$C$17:$V$66,14, FALSE)</f>
        <v>0</v>
      </c>
      <c r="AQ263" s="1331">
        <f xml:space="preserve"> AQ252*VLOOKUP('IV. LCOE, Baseline Energy Mix'!AQ$13,'VII. Additional Data'!$C$17:$V$66,14, FALSE)</f>
        <v>0</v>
      </c>
      <c r="AR263" s="1331">
        <f xml:space="preserve"> AR252*VLOOKUP('IV. LCOE, Baseline Energy Mix'!AR$13,'VII. Additional Data'!$C$17:$V$66,14, FALSE)</f>
        <v>0</v>
      </c>
      <c r="AS263" s="1331">
        <f xml:space="preserve"> AS252*VLOOKUP('IV. LCOE, Baseline Energy Mix'!AS$13,'VII. Additional Data'!$C$17:$V$66,14, FALSE)</f>
        <v>0</v>
      </c>
      <c r="AT263" s="1331">
        <f xml:space="preserve"> AT252*VLOOKUP('IV. LCOE, Baseline Energy Mix'!AT$13,'VII. Additional Data'!$C$17:$V$66,14, FALSE)</f>
        <v>0</v>
      </c>
      <c r="AU263" s="1331">
        <f xml:space="preserve"> AU252*VLOOKUP('IV. LCOE, Baseline Energy Mix'!AU$13,'VII. Additional Data'!$C$17:$V$66,14, FALSE)</f>
        <v>0</v>
      </c>
      <c r="AV263" s="1331">
        <f xml:space="preserve"> AV252*VLOOKUP('IV. LCOE, Baseline Energy Mix'!AV$13,'VII. Additional Data'!$C$17:$V$66,14, FALSE)</f>
        <v>0</v>
      </c>
      <c r="AW263" s="1331">
        <f xml:space="preserve"> AW252*VLOOKUP('IV. LCOE, Baseline Energy Mix'!AW$13,'VII. Additional Data'!$C$17:$V$66,14, FALSE)</f>
        <v>0</v>
      </c>
      <c r="AX263" s="1331">
        <f xml:space="preserve"> AX252*VLOOKUP('IV. LCOE, Baseline Energy Mix'!AX$13,'VII. Additional Data'!$C$17:$V$66,14, FALSE)</f>
        <v>0</v>
      </c>
      <c r="AY263" s="1331">
        <f xml:space="preserve"> AY252*VLOOKUP('IV. LCOE, Baseline Energy Mix'!AY$13,'VII. Additional Data'!$C$17:$V$66,14, FALSE)</f>
        <v>0</v>
      </c>
      <c r="AZ263" s="1331">
        <f xml:space="preserve"> AZ252*VLOOKUP('IV. LCOE, Baseline Energy Mix'!AZ$13,'VII. Additional Data'!$C$17:$V$66,14, FALSE)</f>
        <v>0</v>
      </c>
      <c r="BA263" s="1331">
        <f xml:space="preserve"> BA252*VLOOKUP('IV. LCOE, Baseline Energy Mix'!BA$13,'VII. Additional Data'!$C$17:$V$66,14, FALSE)</f>
        <v>0</v>
      </c>
      <c r="BB263" s="1331">
        <f xml:space="preserve"> BB252*VLOOKUP('IV. LCOE, Baseline Energy Mix'!BB$13,'VII. Additional Data'!$C$17:$V$66,14, FALSE)</f>
        <v>0</v>
      </c>
      <c r="BC263" s="1331">
        <f xml:space="preserve"> BC252*VLOOKUP('IV. LCOE, Baseline Energy Mix'!BC$13,'VII. Additional Data'!$C$17:$V$66,14, FALSE)</f>
        <v>0</v>
      </c>
      <c r="BD263" s="1331">
        <f xml:space="preserve"> BD252*VLOOKUP('IV. LCOE, Baseline Energy Mix'!BD$13,'VII. Additional Data'!$C$17:$V$66,14, FALSE)</f>
        <v>0</v>
      </c>
      <c r="BE263" s="1332">
        <f xml:space="preserve"> BE252*VLOOKUP('IV. LCOE, Baseline Energy Mix'!BE$13,'VII. Additional Data'!$C$17:$V$66,14, FALSE)</f>
        <v>0</v>
      </c>
    </row>
    <row r="264" spans="2:57" outlineLevel="1" x14ac:dyDescent="0.25">
      <c r="B264" s="358"/>
      <c r="C264" s="359" t="s">
        <v>162</v>
      </c>
      <c r="D264" s="359"/>
      <c r="E264" s="362"/>
      <c r="F264" s="362"/>
      <c r="G264" s="1188"/>
      <c r="H264" s="1331">
        <f xml:space="preserve"> H252*VLOOKUP('IV. LCOE, Baseline Energy Mix'!H$13,'VII. Additional Data'!$C$17:$V$66,20, FALSE)</f>
        <v>0</v>
      </c>
      <c r="I264" s="1331">
        <f xml:space="preserve"> I252*VLOOKUP('IV. LCOE, Baseline Energy Mix'!I$13,'VII. Additional Data'!$C$17:$V$66,20, FALSE)</f>
        <v>0</v>
      </c>
      <c r="J264" s="1331">
        <f xml:space="preserve"> J252*VLOOKUP('IV. LCOE, Baseline Energy Mix'!J$13,'VII. Additional Data'!$C$17:$V$66,20, FALSE)</f>
        <v>0</v>
      </c>
      <c r="K264" s="1331">
        <f xml:space="preserve"> K252*VLOOKUP('IV. LCOE, Baseline Energy Mix'!K$13,'VII. Additional Data'!$C$17:$V$66,20, FALSE)</f>
        <v>0</v>
      </c>
      <c r="L264" s="1331">
        <f xml:space="preserve"> L252*VLOOKUP('IV. LCOE, Baseline Energy Mix'!L$13,'VII. Additional Data'!$C$17:$V$66,20, FALSE)</f>
        <v>0</v>
      </c>
      <c r="M264" s="1331">
        <f xml:space="preserve"> M252*VLOOKUP('IV. LCOE, Baseline Energy Mix'!M$13,'VII. Additional Data'!$C$17:$V$66,20, FALSE)</f>
        <v>0</v>
      </c>
      <c r="N264" s="1331">
        <f xml:space="preserve"> N252*VLOOKUP('IV. LCOE, Baseline Energy Mix'!N$13,'VII. Additional Data'!$C$17:$V$66,20, FALSE)</f>
        <v>0</v>
      </c>
      <c r="O264" s="1331">
        <f xml:space="preserve"> O252*VLOOKUP('IV. LCOE, Baseline Energy Mix'!O$13,'VII. Additional Data'!$C$17:$V$66,20, FALSE)</f>
        <v>0</v>
      </c>
      <c r="P264" s="1331">
        <f xml:space="preserve"> P252*VLOOKUP('IV. LCOE, Baseline Energy Mix'!P$13,'VII. Additional Data'!$C$17:$V$66,20, FALSE)</f>
        <v>0</v>
      </c>
      <c r="Q264" s="1331">
        <f xml:space="preserve"> Q252*VLOOKUP('IV. LCOE, Baseline Energy Mix'!Q$13,'VII. Additional Data'!$C$17:$V$66,20, FALSE)</f>
        <v>0</v>
      </c>
      <c r="R264" s="1331">
        <f xml:space="preserve"> R252*VLOOKUP('IV. LCOE, Baseline Energy Mix'!R$13,'VII. Additional Data'!$C$17:$V$66,20, FALSE)</f>
        <v>0</v>
      </c>
      <c r="S264" s="1331">
        <f xml:space="preserve"> S252*VLOOKUP('IV. LCOE, Baseline Energy Mix'!S$13,'VII. Additional Data'!$C$17:$V$66,20, FALSE)</f>
        <v>0</v>
      </c>
      <c r="T264" s="1331">
        <f xml:space="preserve"> T252*VLOOKUP('IV. LCOE, Baseline Energy Mix'!T$13,'VII. Additional Data'!$C$17:$V$66,20, FALSE)</f>
        <v>0</v>
      </c>
      <c r="U264" s="1331">
        <f xml:space="preserve"> U252*VLOOKUP('IV. LCOE, Baseline Energy Mix'!U$13,'VII. Additional Data'!$C$17:$V$66,20, FALSE)</f>
        <v>0</v>
      </c>
      <c r="V264" s="1331">
        <f xml:space="preserve"> V252*VLOOKUP('IV. LCOE, Baseline Energy Mix'!V$13,'VII. Additional Data'!$C$17:$V$66,20, FALSE)</f>
        <v>0</v>
      </c>
      <c r="W264" s="1331">
        <f xml:space="preserve"> W252*VLOOKUP('IV. LCOE, Baseline Energy Mix'!W$13,'VII. Additional Data'!$C$17:$V$66,20, FALSE)</f>
        <v>0</v>
      </c>
      <c r="X264" s="1331">
        <f xml:space="preserve"> X252*VLOOKUP('IV. LCOE, Baseline Energy Mix'!X$13,'VII. Additional Data'!$C$17:$V$66,20, FALSE)</f>
        <v>0</v>
      </c>
      <c r="Y264" s="1331">
        <f xml:space="preserve"> Y252*VLOOKUP('IV. LCOE, Baseline Energy Mix'!Y$13,'VII. Additional Data'!$C$17:$V$66,20, FALSE)</f>
        <v>0</v>
      </c>
      <c r="Z264" s="1331">
        <f xml:space="preserve"> Z252*VLOOKUP('IV. LCOE, Baseline Energy Mix'!Z$13,'VII. Additional Data'!$C$17:$V$66,20, FALSE)</f>
        <v>0</v>
      </c>
      <c r="AA264" s="1331">
        <f xml:space="preserve"> AA252*VLOOKUP('IV. LCOE, Baseline Energy Mix'!AA$13,'VII. Additional Data'!$C$17:$V$66,20, FALSE)</f>
        <v>0</v>
      </c>
      <c r="AB264" s="1331">
        <f xml:space="preserve"> AB252*VLOOKUP('IV. LCOE, Baseline Energy Mix'!AB$13,'VII. Additional Data'!$C$17:$V$66,20, FALSE)</f>
        <v>0</v>
      </c>
      <c r="AC264" s="1331">
        <f xml:space="preserve"> AC252*VLOOKUP('IV. LCOE, Baseline Energy Mix'!AC$13,'VII. Additional Data'!$C$17:$V$66,20, FALSE)</f>
        <v>0</v>
      </c>
      <c r="AD264" s="1331">
        <f xml:space="preserve"> AD252*VLOOKUP('IV. LCOE, Baseline Energy Mix'!AD$13,'VII. Additional Data'!$C$17:$V$66,20, FALSE)</f>
        <v>0</v>
      </c>
      <c r="AE264" s="1331">
        <f xml:space="preserve"> AE252*VLOOKUP('IV. LCOE, Baseline Energy Mix'!AE$13,'VII. Additional Data'!$C$17:$V$66,20, FALSE)</f>
        <v>0</v>
      </c>
      <c r="AF264" s="1331">
        <f xml:space="preserve"> AF252*VLOOKUP('IV. LCOE, Baseline Energy Mix'!AF$13,'VII. Additional Data'!$C$17:$V$66,20, FALSE)</f>
        <v>0</v>
      </c>
      <c r="AG264" s="1331">
        <f xml:space="preserve"> AG252*VLOOKUP('IV. LCOE, Baseline Energy Mix'!AG$13,'VII. Additional Data'!$C$17:$V$66,20, FALSE)</f>
        <v>0</v>
      </c>
      <c r="AH264" s="1331">
        <f xml:space="preserve"> AH252*VLOOKUP('IV. LCOE, Baseline Energy Mix'!AH$13,'VII. Additional Data'!$C$17:$V$66,20, FALSE)</f>
        <v>0</v>
      </c>
      <c r="AI264" s="1331">
        <f xml:space="preserve"> AI252*VLOOKUP('IV. LCOE, Baseline Energy Mix'!AI$13,'VII. Additional Data'!$C$17:$V$66,20, FALSE)</f>
        <v>0</v>
      </c>
      <c r="AJ264" s="1331">
        <f xml:space="preserve"> AJ252*VLOOKUP('IV. LCOE, Baseline Energy Mix'!AJ$13,'VII. Additional Data'!$C$17:$V$66,20, FALSE)</f>
        <v>0</v>
      </c>
      <c r="AK264" s="1331">
        <f xml:space="preserve"> AK252*VLOOKUP('IV. LCOE, Baseline Energy Mix'!AK$13,'VII. Additional Data'!$C$17:$V$66,20, FALSE)</f>
        <v>0</v>
      </c>
      <c r="AL264" s="1331">
        <f xml:space="preserve"> AL252*VLOOKUP('IV. LCOE, Baseline Energy Mix'!AL$13,'VII. Additional Data'!$C$17:$V$66,20, FALSE)</f>
        <v>0</v>
      </c>
      <c r="AM264" s="1331">
        <f xml:space="preserve"> AM252*VLOOKUP('IV. LCOE, Baseline Energy Mix'!AM$13,'VII. Additional Data'!$C$17:$V$66,20, FALSE)</f>
        <v>0</v>
      </c>
      <c r="AN264" s="1331">
        <f xml:space="preserve"> AN252*VLOOKUP('IV. LCOE, Baseline Energy Mix'!AN$13,'VII. Additional Data'!$C$17:$V$66,20, FALSE)</f>
        <v>0</v>
      </c>
      <c r="AO264" s="1331">
        <f xml:space="preserve"> AO252*VLOOKUP('IV. LCOE, Baseline Energy Mix'!AO$13,'VII. Additional Data'!$C$17:$V$66,20, FALSE)</f>
        <v>0</v>
      </c>
      <c r="AP264" s="1331">
        <f xml:space="preserve"> AP252*VLOOKUP('IV. LCOE, Baseline Energy Mix'!AP$13,'VII. Additional Data'!$C$17:$V$66,20, FALSE)</f>
        <v>0</v>
      </c>
      <c r="AQ264" s="1331">
        <f xml:space="preserve"> AQ252*VLOOKUP('IV. LCOE, Baseline Energy Mix'!AQ$13,'VII. Additional Data'!$C$17:$V$66,20, FALSE)</f>
        <v>0</v>
      </c>
      <c r="AR264" s="1331">
        <f xml:space="preserve"> AR252*VLOOKUP('IV. LCOE, Baseline Energy Mix'!AR$13,'VII. Additional Data'!$C$17:$V$66,20, FALSE)</f>
        <v>0</v>
      </c>
      <c r="AS264" s="1331">
        <f xml:space="preserve"> AS252*VLOOKUP('IV. LCOE, Baseline Energy Mix'!AS$13,'VII. Additional Data'!$C$17:$V$66,20, FALSE)</f>
        <v>0</v>
      </c>
      <c r="AT264" s="1331">
        <f xml:space="preserve"> AT252*VLOOKUP('IV. LCOE, Baseline Energy Mix'!AT$13,'VII. Additional Data'!$C$17:$V$66,20, FALSE)</f>
        <v>0</v>
      </c>
      <c r="AU264" s="1331">
        <f xml:space="preserve"> AU252*VLOOKUP('IV. LCOE, Baseline Energy Mix'!AU$13,'VII. Additional Data'!$C$17:$V$66,20, FALSE)</f>
        <v>0</v>
      </c>
      <c r="AV264" s="1331">
        <f xml:space="preserve"> AV252*VLOOKUP('IV. LCOE, Baseline Energy Mix'!AV$13,'VII. Additional Data'!$C$17:$V$66,20, FALSE)</f>
        <v>0</v>
      </c>
      <c r="AW264" s="1331">
        <f xml:space="preserve"> AW252*VLOOKUP('IV. LCOE, Baseline Energy Mix'!AW$13,'VII. Additional Data'!$C$17:$V$66,20, FALSE)</f>
        <v>0</v>
      </c>
      <c r="AX264" s="1331">
        <f xml:space="preserve"> AX252*VLOOKUP('IV. LCOE, Baseline Energy Mix'!AX$13,'VII. Additional Data'!$C$17:$V$66,20, FALSE)</f>
        <v>0</v>
      </c>
      <c r="AY264" s="1331">
        <f xml:space="preserve"> AY252*VLOOKUP('IV. LCOE, Baseline Energy Mix'!AY$13,'VII. Additional Data'!$C$17:$V$66,20, FALSE)</f>
        <v>0</v>
      </c>
      <c r="AZ264" s="1331">
        <f xml:space="preserve"> AZ252*VLOOKUP('IV. LCOE, Baseline Energy Mix'!AZ$13,'VII. Additional Data'!$C$17:$V$66,20, FALSE)</f>
        <v>0</v>
      </c>
      <c r="BA264" s="1331">
        <f xml:space="preserve"> BA252*VLOOKUP('IV. LCOE, Baseline Energy Mix'!BA$13,'VII. Additional Data'!$C$17:$V$66,20, FALSE)</f>
        <v>0</v>
      </c>
      <c r="BB264" s="1331">
        <f xml:space="preserve"> BB252*VLOOKUP('IV. LCOE, Baseline Energy Mix'!BB$13,'VII. Additional Data'!$C$17:$V$66,20, FALSE)</f>
        <v>0</v>
      </c>
      <c r="BC264" s="1331">
        <f xml:space="preserve"> BC252*VLOOKUP('IV. LCOE, Baseline Energy Mix'!BC$13,'VII. Additional Data'!$C$17:$V$66,20, FALSE)</f>
        <v>0</v>
      </c>
      <c r="BD264" s="1331">
        <f xml:space="preserve"> BD252*VLOOKUP('IV. LCOE, Baseline Energy Mix'!BD$13,'VII. Additional Data'!$C$17:$V$66,20, FALSE)</f>
        <v>0</v>
      </c>
      <c r="BE264" s="1332">
        <f xml:space="preserve"> BE252*VLOOKUP('IV. LCOE, Baseline Energy Mix'!BE$13,'VII. Additional Data'!$C$17:$V$66,20, FALSE)</f>
        <v>0</v>
      </c>
    </row>
    <row r="265" spans="2:57" outlineLevel="1" x14ac:dyDescent="0.25">
      <c r="B265" s="358"/>
      <c r="C265" s="359"/>
      <c r="D265" s="359"/>
      <c r="E265" s="362"/>
      <c r="F265" s="362"/>
      <c r="G265" s="1188"/>
      <c r="H265" s="1189"/>
      <c r="I265" s="1189"/>
      <c r="J265" s="1189"/>
      <c r="K265" s="1189"/>
      <c r="L265" s="1189"/>
      <c r="M265" s="1189"/>
      <c r="N265" s="1189"/>
      <c r="O265" s="1189"/>
      <c r="P265" s="1189"/>
      <c r="Q265" s="1189"/>
      <c r="R265" s="1189"/>
      <c r="S265" s="1189"/>
      <c r="T265" s="1189"/>
      <c r="U265" s="1189"/>
      <c r="V265" s="1189"/>
      <c r="W265" s="1189"/>
      <c r="X265" s="1189"/>
      <c r="Y265" s="1189"/>
      <c r="Z265" s="1189"/>
      <c r="AA265" s="1189"/>
      <c r="AB265" s="1189"/>
      <c r="AC265" s="1189"/>
      <c r="AD265" s="1189"/>
      <c r="AE265" s="1189"/>
      <c r="AF265" s="1189"/>
      <c r="AG265" s="1189"/>
      <c r="AH265" s="1189"/>
      <c r="AI265" s="1189"/>
      <c r="AJ265" s="1189"/>
      <c r="AK265" s="1189"/>
      <c r="AL265" s="1189"/>
      <c r="AM265" s="1189"/>
      <c r="AN265" s="1189"/>
      <c r="AO265" s="1189"/>
      <c r="AP265" s="1189"/>
      <c r="AQ265" s="1189"/>
      <c r="AR265" s="1189"/>
      <c r="AS265" s="1189"/>
      <c r="AT265" s="1189"/>
      <c r="AU265" s="1189"/>
      <c r="AV265" s="1189"/>
      <c r="AW265" s="1189"/>
      <c r="AX265" s="1189"/>
      <c r="AY265" s="1189"/>
      <c r="AZ265" s="1189"/>
      <c r="BA265" s="1189"/>
      <c r="BB265" s="1189"/>
      <c r="BC265" s="1189"/>
      <c r="BD265" s="1189"/>
      <c r="BE265" s="1190"/>
    </row>
    <row r="266" spans="2:57" x14ac:dyDescent="0.25">
      <c r="B266" s="358" t="s">
        <v>138</v>
      </c>
      <c r="C266" s="359"/>
      <c r="D266" s="359"/>
      <c r="E266" s="362"/>
      <c r="F266" s="362" t="s">
        <v>22</v>
      </c>
      <c r="G266" s="369"/>
      <c r="H266" s="1333">
        <f>H260*H254*H252/'II. Inputs, Baseline Energy Mix'!$S$91</f>
        <v>0</v>
      </c>
      <c r="I266" s="1333">
        <f>I260*I254*I252/'II. Inputs, Baseline Energy Mix'!$S$91</f>
        <v>0</v>
      </c>
      <c r="J266" s="1333">
        <f>J260*J254*J252/'II. Inputs, Baseline Energy Mix'!$S$91</f>
        <v>0</v>
      </c>
      <c r="K266" s="1333">
        <f>K260*K254*K252/'II. Inputs, Baseline Energy Mix'!$S$91</f>
        <v>0</v>
      </c>
      <c r="L266" s="1333">
        <f>L260*L254*L252/'II. Inputs, Baseline Energy Mix'!$S$91</f>
        <v>0</v>
      </c>
      <c r="M266" s="1333">
        <f>M260*M254*M252/'II. Inputs, Baseline Energy Mix'!$S$91</f>
        <v>0</v>
      </c>
      <c r="N266" s="1333">
        <f>N260*N254*N252/'II. Inputs, Baseline Energy Mix'!$S$91</f>
        <v>0</v>
      </c>
      <c r="O266" s="1333">
        <f>O260*O254*O252/'II. Inputs, Baseline Energy Mix'!$S$91</f>
        <v>0</v>
      </c>
      <c r="P266" s="1333">
        <f>P260*P254*P252/'II. Inputs, Baseline Energy Mix'!$S$91</f>
        <v>0</v>
      </c>
      <c r="Q266" s="1333">
        <f>Q260*Q254*Q252/'II. Inputs, Baseline Energy Mix'!$S$91</f>
        <v>0</v>
      </c>
      <c r="R266" s="1333">
        <f>R260*R254*R252/'II. Inputs, Baseline Energy Mix'!$S$91</f>
        <v>0</v>
      </c>
      <c r="S266" s="1333">
        <f>S260*S254*S252/'II. Inputs, Baseline Energy Mix'!$S$91</f>
        <v>0</v>
      </c>
      <c r="T266" s="1333">
        <f>T260*T254*T252/'II. Inputs, Baseline Energy Mix'!$S$91</f>
        <v>0</v>
      </c>
      <c r="U266" s="1333">
        <f>U260*U254*U252/'II. Inputs, Baseline Energy Mix'!$S$91</f>
        <v>0</v>
      </c>
      <c r="V266" s="1333">
        <f>V260*V254*V252/'II. Inputs, Baseline Energy Mix'!$S$91</f>
        <v>0</v>
      </c>
      <c r="W266" s="1333">
        <f>W260*W254*W252/'II. Inputs, Baseline Energy Mix'!$S$91</f>
        <v>0</v>
      </c>
      <c r="X266" s="1333">
        <f>X260*X254*X252/'II. Inputs, Baseline Energy Mix'!$S$91</f>
        <v>0</v>
      </c>
      <c r="Y266" s="1333">
        <f>Y260*Y254*Y252/'II. Inputs, Baseline Energy Mix'!$S$91</f>
        <v>0</v>
      </c>
      <c r="Z266" s="1333">
        <f>Z260*Z254*Z252/'II. Inputs, Baseline Energy Mix'!$S$91</f>
        <v>0</v>
      </c>
      <c r="AA266" s="1333">
        <f>AA260*AA254*AA252/'II. Inputs, Baseline Energy Mix'!$S$91</f>
        <v>0</v>
      </c>
      <c r="AB266" s="1333">
        <f>AB260*AB254*AB252/'II. Inputs, Baseline Energy Mix'!$S$91</f>
        <v>0</v>
      </c>
      <c r="AC266" s="1333">
        <f>AC260*AC254*AC252/'II. Inputs, Baseline Energy Mix'!$S$91</f>
        <v>0</v>
      </c>
      <c r="AD266" s="1333">
        <f>AD260*AD254*AD252/'II. Inputs, Baseline Energy Mix'!$S$91</f>
        <v>0</v>
      </c>
      <c r="AE266" s="1333">
        <f>AE260*AE254*AE252/'II. Inputs, Baseline Energy Mix'!$S$91</f>
        <v>0</v>
      </c>
      <c r="AF266" s="1333">
        <f>AF260*AF254*AF252/'II. Inputs, Baseline Energy Mix'!$S$91</f>
        <v>0</v>
      </c>
      <c r="AG266" s="1333">
        <f>AG260*AG254*AG252/'II. Inputs, Baseline Energy Mix'!$S$91</f>
        <v>0</v>
      </c>
      <c r="AH266" s="1333">
        <f>AH260*AH254*AH252/'II. Inputs, Baseline Energy Mix'!$S$91</f>
        <v>0</v>
      </c>
      <c r="AI266" s="1333">
        <f>AI260*AI254*AI252/'II. Inputs, Baseline Energy Mix'!$S$91</f>
        <v>0</v>
      </c>
      <c r="AJ266" s="1333">
        <f>AJ260*AJ254*AJ252/'II. Inputs, Baseline Energy Mix'!$S$91</f>
        <v>0</v>
      </c>
      <c r="AK266" s="1333">
        <f>AK260*AK254*AK252/'II. Inputs, Baseline Energy Mix'!$S$91</f>
        <v>0</v>
      </c>
      <c r="AL266" s="1333">
        <f>AL260*AL254*AL252/'II. Inputs, Baseline Energy Mix'!$S$91</f>
        <v>0</v>
      </c>
      <c r="AM266" s="1333">
        <f>AM260*AM254*AM252/'II. Inputs, Baseline Energy Mix'!$S$91</f>
        <v>0</v>
      </c>
      <c r="AN266" s="1333">
        <f>AN260*AN254*AN252/'II. Inputs, Baseline Energy Mix'!$S$91</f>
        <v>0</v>
      </c>
      <c r="AO266" s="1333">
        <f>AO260*AO254*AO252/'II. Inputs, Baseline Energy Mix'!$S$91</f>
        <v>0</v>
      </c>
      <c r="AP266" s="1333">
        <f>AP260*AP254*AP252/'II. Inputs, Baseline Energy Mix'!$S$91</f>
        <v>0</v>
      </c>
      <c r="AQ266" s="1333">
        <f>AQ260*AQ254*AQ252/'II. Inputs, Baseline Energy Mix'!$S$91</f>
        <v>0</v>
      </c>
      <c r="AR266" s="1333">
        <f>AR260*AR254*AR252/'II. Inputs, Baseline Energy Mix'!$S$91</f>
        <v>0</v>
      </c>
      <c r="AS266" s="1333">
        <f>AS260*AS254*AS252/'II. Inputs, Baseline Energy Mix'!$S$91</f>
        <v>0</v>
      </c>
      <c r="AT266" s="1333">
        <f>AT260*AT254*AT252/'II. Inputs, Baseline Energy Mix'!$S$91</f>
        <v>0</v>
      </c>
      <c r="AU266" s="1333">
        <f>AU260*AU254*AU252/'II. Inputs, Baseline Energy Mix'!$S$91</f>
        <v>0</v>
      </c>
      <c r="AV266" s="1333">
        <f>AV260*AV254*AV252/'II. Inputs, Baseline Energy Mix'!$S$91</f>
        <v>0</v>
      </c>
      <c r="AW266" s="1333">
        <f>AW260*AW254*AW252/'II. Inputs, Baseline Energy Mix'!$S$91</f>
        <v>0</v>
      </c>
      <c r="AX266" s="1333">
        <f>AX260*AX254*AX252/'II. Inputs, Baseline Energy Mix'!$S$91</f>
        <v>0</v>
      </c>
      <c r="AY266" s="1333">
        <f>AY260*AY254*AY252/'II. Inputs, Baseline Energy Mix'!$S$91</f>
        <v>0</v>
      </c>
      <c r="AZ266" s="1333">
        <f>AZ260*AZ254*AZ252/'II. Inputs, Baseline Energy Mix'!$S$91</f>
        <v>0</v>
      </c>
      <c r="BA266" s="1333">
        <f>BA260*BA254*BA252/'II. Inputs, Baseline Energy Mix'!$S$91</f>
        <v>0</v>
      </c>
      <c r="BB266" s="1333">
        <f>BB260*BB254*BB252/'II. Inputs, Baseline Energy Mix'!$S$91</f>
        <v>0</v>
      </c>
      <c r="BC266" s="1333">
        <f>BC260*BC254*BC252/'II. Inputs, Baseline Energy Mix'!$S$91</f>
        <v>0</v>
      </c>
      <c r="BD266" s="1333">
        <f>BD260*BD254*BD252/'II. Inputs, Baseline Energy Mix'!$S$91</f>
        <v>0</v>
      </c>
      <c r="BE266" s="1334">
        <f>BE260*BE254*BE252/'II. Inputs, Baseline Energy Mix'!$S$91</f>
        <v>0</v>
      </c>
    </row>
    <row r="267" spans="2:57" x14ac:dyDescent="0.25">
      <c r="B267" s="358"/>
      <c r="C267" s="359"/>
      <c r="D267" s="359"/>
      <c r="E267" s="362"/>
      <c r="F267" s="362"/>
      <c r="G267" s="369"/>
      <c r="H267" s="1333"/>
      <c r="I267" s="369"/>
      <c r="J267" s="369"/>
      <c r="K267" s="369"/>
      <c r="L267" s="369"/>
      <c r="M267" s="369"/>
      <c r="N267" s="369"/>
      <c r="O267" s="369"/>
      <c r="P267" s="369"/>
      <c r="Q267" s="369"/>
      <c r="R267" s="369"/>
      <c r="S267" s="369"/>
      <c r="T267" s="369"/>
      <c r="U267" s="369"/>
      <c r="V267" s="369"/>
      <c r="W267" s="369"/>
      <c r="X267" s="369"/>
      <c r="Y267" s="369"/>
      <c r="Z267" s="369"/>
      <c r="AA267" s="369"/>
      <c r="AB267" s="369"/>
      <c r="AC267" s="369"/>
      <c r="AD267" s="369"/>
      <c r="AE267" s="369"/>
      <c r="AF267" s="369"/>
      <c r="AG267" s="369"/>
      <c r="AH267" s="369"/>
      <c r="AI267" s="369"/>
      <c r="AJ267" s="369"/>
      <c r="AK267" s="369"/>
      <c r="AL267" s="369"/>
      <c r="AM267" s="369"/>
      <c r="AN267" s="369"/>
      <c r="AO267" s="369"/>
      <c r="AP267" s="369"/>
      <c r="AQ267" s="369"/>
      <c r="AR267" s="369"/>
      <c r="AS267" s="369"/>
      <c r="AT267" s="369"/>
      <c r="AU267" s="369"/>
      <c r="AV267" s="369"/>
      <c r="AW267" s="369"/>
      <c r="AX267" s="369"/>
      <c r="AY267" s="369"/>
      <c r="AZ267" s="369"/>
      <c r="BA267" s="369"/>
      <c r="BB267" s="369"/>
      <c r="BC267" s="369"/>
      <c r="BD267" s="369"/>
      <c r="BE267" s="1335"/>
    </row>
    <row r="268" spans="2:57" x14ac:dyDescent="0.25">
      <c r="B268" s="358" t="s">
        <v>101</v>
      </c>
      <c r="C268" s="359"/>
      <c r="D268" s="359"/>
      <c r="E268" s="362"/>
      <c r="F268" s="362" t="s">
        <v>22</v>
      </c>
      <c r="G268" s="369"/>
      <c r="H268" s="369">
        <f>H846</f>
        <v>0</v>
      </c>
      <c r="I268" s="369">
        <f t="shared" ref="I268:BE268" si="87">I846</f>
        <v>0</v>
      </c>
      <c r="J268" s="369">
        <f t="shared" si="87"/>
        <v>0</v>
      </c>
      <c r="K268" s="369">
        <f t="shared" si="87"/>
        <v>0</v>
      </c>
      <c r="L268" s="369">
        <f t="shared" si="87"/>
        <v>0</v>
      </c>
      <c r="M268" s="369">
        <f t="shared" si="87"/>
        <v>0</v>
      </c>
      <c r="N268" s="369">
        <f t="shared" si="87"/>
        <v>0</v>
      </c>
      <c r="O268" s="369">
        <f t="shared" si="87"/>
        <v>0</v>
      </c>
      <c r="P268" s="369">
        <f t="shared" si="87"/>
        <v>0</v>
      </c>
      <c r="Q268" s="369">
        <f t="shared" si="87"/>
        <v>0</v>
      </c>
      <c r="R268" s="369">
        <f t="shared" si="87"/>
        <v>0</v>
      </c>
      <c r="S268" s="369">
        <f t="shared" si="87"/>
        <v>0</v>
      </c>
      <c r="T268" s="369">
        <f t="shared" si="87"/>
        <v>0</v>
      </c>
      <c r="U268" s="369">
        <f t="shared" si="87"/>
        <v>0</v>
      </c>
      <c r="V268" s="369">
        <f t="shared" si="87"/>
        <v>0</v>
      </c>
      <c r="W268" s="369">
        <f t="shared" si="87"/>
        <v>0</v>
      </c>
      <c r="X268" s="369">
        <f t="shared" si="87"/>
        <v>0</v>
      </c>
      <c r="Y268" s="369">
        <f t="shared" si="87"/>
        <v>0</v>
      </c>
      <c r="Z268" s="369">
        <f t="shared" si="87"/>
        <v>0</v>
      </c>
      <c r="AA268" s="369">
        <f t="shared" si="87"/>
        <v>0</v>
      </c>
      <c r="AB268" s="369">
        <f t="shared" si="87"/>
        <v>0</v>
      </c>
      <c r="AC268" s="369">
        <f t="shared" si="87"/>
        <v>0</v>
      </c>
      <c r="AD268" s="369">
        <f t="shared" si="87"/>
        <v>0</v>
      </c>
      <c r="AE268" s="369">
        <f t="shared" si="87"/>
        <v>0</v>
      </c>
      <c r="AF268" s="369">
        <f t="shared" si="87"/>
        <v>0</v>
      </c>
      <c r="AG268" s="369">
        <f t="shared" si="87"/>
        <v>0</v>
      </c>
      <c r="AH268" s="369">
        <f t="shared" si="87"/>
        <v>0</v>
      </c>
      <c r="AI268" s="369">
        <f t="shared" si="87"/>
        <v>0</v>
      </c>
      <c r="AJ268" s="369">
        <f t="shared" si="87"/>
        <v>0</v>
      </c>
      <c r="AK268" s="369">
        <f t="shared" si="87"/>
        <v>0</v>
      </c>
      <c r="AL268" s="369">
        <f t="shared" si="87"/>
        <v>0</v>
      </c>
      <c r="AM268" s="369">
        <f t="shared" si="87"/>
        <v>0</v>
      </c>
      <c r="AN268" s="369">
        <f t="shared" si="87"/>
        <v>0</v>
      </c>
      <c r="AO268" s="369">
        <f t="shared" si="87"/>
        <v>0</v>
      </c>
      <c r="AP268" s="369">
        <f t="shared" si="87"/>
        <v>0</v>
      </c>
      <c r="AQ268" s="369">
        <f t="shared" si="87"/>
        <v>0</v>
      </c>
      <c r="AR268" s="369">
        <f t="shared" si="87"/>
        <v>0</v>
      </c>
      <c r="AS268" s="369">
        <f t="shared" si="87"/>
        <v>0</v>
      </c>
      <c r="AT268" s="369">
        <f t="shared" si="87"/>
        <v>0</v>
      </c>
      <c r="AU268" s="369">
        <f t="shared" si="87"/>
        <v>0</v>
      </c>
      <c r="AV268" s="369">
        <f t="shared" si="87"/>
        <v>0</v>
      </c>
      <c r="AW268" s="369">
        <f t="shared" si="87"/>
        <v>0</v>
      </c>
      <c r="AX268" s="369">
        <f t="shared" si="87"/>
        <v>0</v>
      </c>
      <c r="AY268" s="369">
        <f t="shared" si="87"/>
        <v>0</v>
      </c>
      <c r="AZ268" s="369">
        <f t="shared" si="87"/>
        <v>0</v>
      </c>
      <c r="BA268" s="369">
        <f t="shared" si="87"/>
        <v>0</v>
      </c>
      <c r="BB268" s="369">
        <f t="shared" si="87"/>
        <v>0</v>
      </c>
      <c r="BC268" s="369">
        <f t="shared" si="87"/>
        <v>0</v>
      </c>
      <c r="BD268" s="369">
        <f t="shared" si="87"/>
        <v>0</v>
      </c>
      <c r="BE268" s="1335">
        <f t="shared" si="87"/>
        <v>0</v>
      </c>
    </row>
    <row r="269" spans="2:57" x14ac:dyDescent="0.25">
      <c r="B269" s="358"/>
      <c r="C269" s="359"/>
      <c r="D269" s="359"/>
      <c r="E269" s="362"/>
      <c r="F269" s="362"/>
      <c r="G269" s="369"/>
      <c r="H269" s="369"/>
      <c r="I269" s="369"/>
      <c r="J269" s="369"/>
      <c r="K269" s="369"/>
      <c r="L269" s="369"/>
      <c r="M269" s="369"/>
      <c r="N269" s="369"/>
      <c r="O269" s="369"/>
      <c r="P269" s="369"/>
      <c r="Q269" s="369"/>
      <c r="R269" s="369"/>
      <c r="S269" s="369"/>
      <c r="T269" s="369"/>
      <c r="U269" s="369"/>
      <c r="V269" s="369"/>
      <c r="W269" s="369"/>
      <c r="X269" s="369"/>
      <c r="Y269" s="369"/>
      <c r="Z269" s="369"/>
      <c r="AA269" s="369"/>
      <c r="AB269" s="369"/>
      <c r="AC269" s="369"/>
      <c r="AD269" s="369"/>
      <c r="AE269" s="369"/>
      <c r="AF269" s="369"/>
      <c r="AG269" s="369"/>
      <c r="AH269" s="369"/>
      <c r="AI269" s="369"/>
      <c r="AJ269" s="369"/>
      <c r="AK269" s="369"/>
      <c r="AL269" s="369"/>
      <c r="AM269" s="369"/>
      <c r="AN269" s="369"/>
      <c r="AO269" s="369"/>
      <c r="AP269" s="369"/>
      <c r="AQ269" s="369"/>
      <c r="AR269" s="369"/>
      <c r="AS269" s="369"/>
      <c r="AT269" s="369"/>
      <c r="AU269" s="369"/>
      <c r="AV269" s="369"/>
      <c r="AW269" s="369"/>
      <c r="AX269" s="369"/>
      <c r="AY269" s="369"/>
      <c r="AZ269" s="369"/>
      <c r="BA269" s="369"/>
      <c r="BB269" s="369"/>
      <c r="BC269" s="369"/>
      <c r="BD269" s="369"/>
      <c r="BE269" s="1335"/>
    </row>
    <row r="270" spans="2:57" x14ac:dyDescent="0.25">
      <c r="B270" s="358" t="s">
        <v>256</v>
      </c>
      <c r="C270" s="359"/>
      <c r="D270" s="359"/>
      <c r="E270" s="362"/>
      <c r="F270" s="362" t="s">
        <v>22</v>
      </c>
      <c r="G270" s="369"/>
      <c r="H270" s="369">
        <f>H694</f>
        <v>0</v>
      </c>
      <c r="I270" s="369">
        <f t="shared" ref="I270:BE270" si="88">I694</f>
        <v>0</v>
      </c>
      <c r="J270" s="369">
        <f t="shared" si="88"/>
        <v>0</v>
      </c>
      <c r="K270" s="369">
        <f t="shared" si="88"/>
        <v>0</v>
      </c>
      <c r="L270" s="369">
        <f t="shared" si="88"/>
        <v>0</v>
      </c>
      <c r="M270" s="369">
        <f t="shared" si="88"/>
        <v>0</v>
      </c>
      <c r="N270" s="369">
        <f t="shared" si="88"/>
        <v>0</v>
      </c>
      <c r="O270" s="369">
        <f t="shared" si="88"/>
        <v>0</v>
      </c>
      <c r="P270" s="369">
        <f t="shared" si="88"/>
        <v>0</v>
      </c>
      <c r="Q270" s="369">
        <f t="shared" si="88"/>
        <v>0</v>
      </c>
      <c r="R270" s="369">
        <f t="shared" si="88"/>
        <v>0</v>
      </c>
      <c r="S270" s="369">
        <f t="shared" si="88"/>
        <v>0</v>
      </c>
      <c r="T270" s="369">
        <f t="shared" si="88"/>
        <v>0</v>
      </c>
      <c r="U270" s="369">
        <f t="shared" si="88"/>
        <v>0</v>
      </c>
      <c r="V270" s="369">
        <f t="shared" si="88"/>
        <v>0</v>
      </c>
      <c r="W270" s="369">
        <f t="shared" si="88"/>
        <v>0</v>
      </c>
      <c r="X270" s="369">
        <f t="shared" si="88"/>
        <v>0</v>
      </c>
      <c r="Y270" s="369">
        <f t="shared" si="88"/>
        <v>0</v>
      </c>
      <c r="Z270" s="369">
        <f t="shared" si="88"/>
        <v>0</v>
      </c>
      <c r="AA270" s="369">
        <f t="shared" si="88"/>
        <v>0</v>
      </c>
      <c r="AB270" s="369">
        <f t="shared" si="88"/>
        <v>0</v>
      </c>
      <c r="AC270" s="369">
        <f t="shared" si="88"/>
        <v>0</v>
      </c>
      <c r="AD270" s="369">
        <f t="shared" si="88"/>
        <v>0</v>
      </c>
      <c r="AE270" s="369">
        <f t="shared" si="88"/>
        <v>0</v>
      </c>
      <c r="AF270" s="369">
        <f t="shared" si="88"/>
        <v>0</v>
      </c>
      <c r="AG270" s="369">
        <f t="shared" si="88"/>
        <v>0</v>
      </c>
      <c r="AH270" s="369">
        <f t="shared" si="88"/>
        <v>0</v>
      </c>
      <c r="AI270" s="369">
        <f t="shared" si="88"/>
        <v>0</v>
      </c>
      <c r="AJ270" s="369">
        <f t="shared" si="88"/>
        <v>0</v>
      </c>
      <c r="AK270" s="369">
        <f t="shared" si="88"/>
        <v>0</v>
      </c>
      <c r="AL270" s="369">
        <f t="shared" si="88"/>
        <v>0</v>
      </c>
      <c r="AM270" s="369">
        <f t="shared" si="88"/>
        <v>0</v>
      </c>
      <c r="AN270" s="369">
        <f t="shared" si="88"/>
        <v>0</v>
      </c>
      <c r="AO270" s="369">
        <f t="shared" si="88"/>
        <v>0</v>
      </c>
      <c r="AP270" s="369">
        <f t="shared" si="88"/>
        <v>0</v>
      </c>
      <c r="AQ270" s="369">
        <f t="shared" si="88"/>
        <v>0</v>
      </c>
      <c r="AR270" s="369">
        <f t="shared" si="88"/>
        <v>0</v>
      </c>
      <c r="AS270" s="369">
        <f t="shared" si="88"/>
        <v>0</v>
      </c>
      <c r="AT270" s="369">
        <f t="shared" si="88"/>
        <v>0</v>
      </c>
      <c r="AU270" s="369">
        <f t="shared" si="88"/>
        <v>0</v>
      </c>
      <c r="AV270" s="369">
        <f t="shared" si="88"/>
        <v>0</v>
      </c>
      <c r="AW270" s="369">
        <f t="shared" si="88"/>
        <v>0</v>
      </c>
      <c r="AX270" s="369">
        <f t="shared" si="88"/>
        <v>0</v>
      </c>
      <c r="AY270" s="369">
        <f t="shared" si="88"/>
        <v>0</v>
      </c>
      <c r="AZ270" s="369">
        <f t="shared" si="88"/>
        <v>0</v>
      </c>
      <c r="BA270" s="369">
        <f t="shared" si="88"/>
        <v>0</v>
      </c>
      <c r="BB270" s="369">
        <f t="shared" si="88"/>
        <v>0</v>
      </c>
      <c r="BC270" s="369">
        <f t="shared" si="88"/>
        <v>0</v>
      </c>
      <c r="BD270" s="369">
        <f t="shared" si="88"/>
        <v>0</v>
      </c>
      <c r="BE270" s="1335">
        <f t="shared" si="88"/>
        <v>0</v>
      </c>
    </row>
    <row r="271" spans="2:57" x14ac:dyDescent="0.25">
      <c r="B271" s="358" t="s">
        <v>188</v>
      </c>
      <c r="C271" s="359"/>
      <c r="D271" s="359"/>
      <c r="E271" s="362"/>
      <c r="F271" s="362" t="s">
        <v>22</v>
      </c>
      <c r="G271" s="369"/>
      <c r="H271" s="369">
        <f>H715</f>
        <v>0</v>
      </c>
      <c r="I271" s="369">
        <f t="shared" ref="I271:BE271" si="89">I715</f>
        <v>0</v>
      </c>
      <c r="J271" s="369">
        <f t="shared" si="89"/>
        <v>0</v>
      </c>
      <c r="K271" s="369">
        <f t="shared" si="89"/>
        <v>0</v>
      </c>
      <c r="L271" s="369">
        <f t="shared" si="89"/>
        <v>0</v>
      </c>
      <c r="M271" s="369">
        <f t="shared" si="89"/>
        <v>0</v>
      </c>
      <c r="N271" s="369">
        <f t="shared" si="89"/>
        <v>0</v>
      </c>
      <c r="O271" s="369">
        <f t="shared" si="89"/>
        <v>0</v>
      </c>
      <c r="P271" s="369">
        <f t="shared" si="89"/>
        <v>0</v>
      </c>
      <c r="Q271" s="369">
        <f t="shared" si="89"/>
        <v>0</v>
      </c>
      <c r="R271" s="369">
        <f t="shared" si="89"/>
        <v>0</v>
      </c>
      <c r="S271" s="369">
        <f t="shared" si="89"/>
        <v>0</v>
      </c>
      <c r="T271" s="369">
        <f t="shared" si="89"/>
        <v>0</v>
      </c>
      <c r="U271" s="369">
        <f t="shared" si="89"/>
        <v>0</v>
      </c>
      <c r="V271" s="369">
        <f t="shared" si="89"/>
        <v>0</v>
      </c>
      <c r="W271" s="369">
        <f t="shared" si="89"/>
        <v>0</v>
      </c>
      <c r="X271" s="369">
        <f t="shared" si="89"/>
        <v>0</v>
      </c>
      <c r="Y271" s="369">
        <f t="shared" si="89"/>
        <v>0</v>
      </c>
      <c r="Z271" s="369">
        <f t="shared" si="89"/>
        <v>0</v>
      </c>
      <c r="AA271" s="369">
        <f t="shared" si="89"/>
        <v>0</v>
      </c>
      <c r="AB271" s="369">
        <f t="shared" si="89"/>
        <v>0</v>
      </c>
      <c r="AC271" s="369">
        <f t="shared" si="89"/>
        <v>0</v>
      </c>
      <c r="AD271" s="369">
        <f t="shared" si="89"/>
        <v>0</v>
      </c>
      <c r="AE271" s="369">
        <f t="shared" si="89"/>
        <v>0</v>
      </c>
      <c r="AF271" s="369">
        <f t="shared" si="89"/>
        <v>0</v>
      </c>
      <c r="AG271" s="369">
        <f t="shared" si="89"/>
        <v>0</v>
      </c>
      <c r="AH271" s="369">
        <f t="shared" si="89"/>
        <v>0</v>
      </c>
      <c r="AI271" s="369">
        <f t="shared" si="89"/>
        <v>0</v>
      </c>
      <c r="AJ271" s="369">
        <f t="shared" si="89"/>
        <v>0</v>
      </c>
      <c r="AK271" s="369">
        <f t="shared" si="89"/>
        <v>0</v>
      </c>
      <c r="AL271" s="369">
        <f t="shared" si="89"/>
        <v>0</v>
      </c>
      <c r="AM271" s="369">
        <f t="shared" si="89"/>
        <v>0</v>
      </c>
      <c r="AN271" s="369">
        <f t="shared" si="89"/>
        <v>0</v>
      </c>
      <c r="AO271" s="369">
        <f t="shared" si="89"/>
        <v>0</v>
      </c>
      <c r="AP271" s="369">
        <f t="shared" si="89"/>
        <v>0</v>
      </c>
      <c r="AQ271" s="369">
        <f t="shared" si="89"/>
        <v>0</v>
      </c>
      <c r="AR271" s="369">
        <f t="shared" si="89"/>
        <v>0</v>
      </c>
      <c r="AS271" s="369">
        <f t="shared" si="89"/>
        <v>0</v>
      </c>
      <c r="AT271" s="369">
        <f t="shared" si="89"/>
        <v>0</v>
      </c>
      <c r="AU271" s="369">
        <f t="shared" si="89"/>
        <v>0</v>
      </c>
      <c r="AV271" s="369">
        <f t="shared" si="89"/>
        <v>0</v>
      </c>
      <c r="AW271" s="369">
        <f t="shared" si="89"/>
        <v>0</v>
      </c>
      <c r="AX271" s="369">
        <f t="shared" si="89"/>
        <v>0</v>
      </c>
      <c r="AY271" s="369">
        <f t="shared" si="89"/>
        <v>0</v>
      </c>
      <c r="AZ271" s="369">
        <f t="shared" si="89"/>
        <v>0</v>
      </c>
      <c r="BA271" s="369">
        <f t="shared" si="89"/>
        <v>0</v>
      </c>
      <c r="BB271" s="369">
        <f t="shared" si="89"/>
        <v>0</v>
      </c>
      <c r="BC271" s="369">
        <f t="shared" si="89"/>
        <v>0</v>
      </c>
      <c r="BD271" s="369">
        <f t="shared" si="89"/>
        <v>0</v>
      </c>
      <c r="BE271" s="1335">
        <f t="shared" si="89"/>
        <v>0</v>
      </c>
    </row>
    <row r="272" spans="2:57" x14ac:dyDescent="0.25">
      <c r="B272" s="358" t="s">
        <v>189</v>
      </c>
      <c r="C272" s="359"/>
      <c r="D272" s="359"/>
      <c r="E272" s="362"/>
      <c r="F272" s="362" t="s">
        <v>22</v>
      </c>
      <c r="G272" s="369"/>
      <c r="H272" s="369">
        <f>H736</f>
        <v>0</v>
      </c>
      <c r="I272" s="369">
        <f t="shared" ref="I272:BE272" si="90">I736</f>
        <v>0</v>
      </c>
      <c r="J272" s="369">
        <f t="shared" si="90"/>
        <v>0</v>
      </c>
      <c r="K272" s="369">
        <f t="shared" si="90"/>
        <v>0</v>
      </c>
      <c r="L272" s="369">
        <f t="shared" si="90"/>
        <v>0</v>
      </c>
      <c r="M272" s="369">
        <f t="shared" si="90"/>
        <v>0</v>
      </c>
      <c r="N272" s="369">
        <f t="shared" si="90"/>
        <v>0</v>
      </c>
      <c r="O272" s="369">
        <f t="shared" si="90"/>
        <v>0</v>
      </c>
      <c r="P272" s="369">
        <f t="shared" si="90"/>
        <v>0</v>
      </c>
      <c r="Q272" s="369">
        <f t="shared" si="90"/>
        <v>0</v>
      </c>
      <c r="R272" s="369">
        <f t="shared" si="90"/>
        <v>0</v>
      </c>
      <c r="S272" s="369">
        <f t="shared" si="90"/>
        <v>0</v>
      </c>
      <c r="T272" s="369">
        <f t="shared" si="90"/>
        <v>0</v>
      </c>
      <c r="U272" s="369">
        <f t="shared" si="90"/>
        <v>0</v>
      </c>
      <c r="V272" s="369">
        <f t="shared" si="90"/>
        <v>0</v>
      </c>
      <c r="W272" s="369">
        <f t="shared" si="90"/>
        <v>0</v>
      </c>
      <c r="X272" s="369">
        <f t="shared" si="90"/>
        <v>0</v>
      </c>
      <c r="Y272" s="369">
        <f t="shared" si="90"/>
        <v>0</v>
      </c>
      <c r="Z272" s="369">
        <f t="shared" si="90"/>
        <v>0</v>
      </c>
      <c r="AA272" s="369">
        <f t="shared" si="90"/>
        <v>0</v>
      </c>
      <c r="AB272" s="369">
        <f t="shared" si="90"/>
        <v>0</v>
      </c>
      <c r="AC272" s="369">
        <f t="shared" si="90"/>
        <v>0</v>
      </c>
      <c r="AD272" s="369">
        <f t="shared" si="90"/>
        <v>0</v>
      </c>
      <c r="AE272" s="369">
        <f t="shared" si="90"/>
        <v>0</v>
      </c>
      <c r="AF272" s="369">
        <f t="shared" si="90"/>
        <v>0</v>
      </c>
      <c r="AG272" s="369">
        <f t="shared" si="90"/>
        <v>0</v>
      </c>
      <c r="AH272" s="369">
        <f t="shared" si="90"/>
        <v>0</v>
      </c>
      <c r="AI272" s="369">
        <f t="shared" si="90"/>
        <v>0</v>
      </c>
      <c r="AJ272" s="369">
        <f t="shared" si="90"/>
        <v>0</v>
      </c>
      <c r="AK272" s="369">
        <f t="shared" si="90"/>
        <v>0</v>
      </c>
      <c r="AL272" s="369">
        <f t="shared" si="90"/>
        <v>0</v>
      </c>
      <c r="AM272" s="369">
        <f t="shared" si="90"/>
        <v>0</v>
      </c>
      <c r="AN272" s="369">
        <f t="shared" si="90"/>
        <v>0</v>
      </c>
      <c r="AO272" s="369">
        <f t="shared" si="90"/>
        <v>0</v>
      </c>
      <c r="AP272" s="369">
        <f t="shared" si="90"/>
        <v>0</v>
      </c>
      <c r="AQ272" s="369">
        <f t="shared" si="90"/>
        <v>0</v>
      </c>
      <c r="AR272" s="369">
        <f t="shared" si="90"/>
        <v>0</v>
      </c>
      <c r="AS272" s="369">
        <f t="shared" si="90"/>
        <v>0</v>
      </c>
      <c r="AT272" s="369">
        <f t="shared" si="90"/>
        <v>0</v>
      </c>
      <c r="AU272" s="369">
        <f t="shared" si="90"/>
        <v>0</v>
      </c>
      <c r="AV272" s="369">
        <f t="shared" si="90"/>
        <v>0</v>
      </c>
      <c r="AW272" s="369">
        <f t="shared" si="90"/>
        <v>0</v>
      </c>
      <c r="AX272" s="369">
        <f t="shared" si="90"/>
        <v>0</v>
      </c>
      <c r="AY272" s="369">
        <f t="shared" si="90"/>
        <v>0</v>
      </c>
      <c r="AZ272" s="369">
        <f t="shared" si="90"/>
        <v>0</v>
      </c>
      <c r="BA272" s="369">
        <f t="shared" si="90"/>
        <v>0</v>
      </c>
      <c r="BB272" s="369">
        <f t="shared" si="90"/>
        <v>0</v>
      </c>
      <c r="BC272" s="369">
        <f t="shared" si="90"/>
        <v>0</v>
      </c>
      <c r="BD272" s="369">
        <f t="shared" si="90"/>
        <v>0</v>
      </c>
      <c r="BE272" s="1335">
        <f t="shared" si="90"/>
        <v>0</v>
      </c>
    </row>
    <row r="273" spans="2:57" x14ac:dyDescent="0.25">
      <c r="B273" s="358" t="s">
        <v>132</v>
      </c>
      <c r="C273" s="359"/>
      <c r="D273" s="359"/>
      <c r="E273" s="362"/>
      <c r="F273" s="362" t="s">
        <v>22</v>
      </c>
      <c r="G273" s="369"/>
      <c r="H273" s="369">
        <f>(H705+H726+H747)</f>
        <v>0</v>
      </c>
      <c r="I273" s="369">
        <f t="shared" ref="I273:BE273" si="91">(I705+I726+I747)</f>
        <v>0</v>
      </c>
      <c r="J273" s="369">
        <f t="shared" si="91"/>
        <v>0</v>
      </c>
      <c r="K273" s="369">
        <f t="shared" si="91"/>
        <v>0</v>
      </c>
      <c r="L273" s="369">
        <f t="shared" si="91"/>
        <v>0</v>
      </c>
      <c r="M273" s="369">
        <f t="shared" si="91"/>
        <v>0</v>
      </c>
      <c r="N273" s="369">
        <f t="shared" si="91"/>
        <v>0</v>
      </c>
      <c r="O273" s="369">
        <f t="shared" si="91"/>
        <v>0</v>
      </c>
      <c r="P273" s="369">
        <f t="shared" si="91"/>
        <v>0</v>
      </c>
      <c r="Q273" s="369">
        <f t="shared" si="91"/>
        <v>0</v>
      </c>
      <c r="R273" s="369">
        <f t="shared" si="91"/>
        <v>0</v>
      </c>
      <c r="S273" s="369">
        <f t="shared" si="91"/>
        <v>0</v>
      </c>
      <c r="T273" s="369">
        <f t="shared" si="91"/>
        <v>0</v>
      </c>
      <c r="U273" s="369">
        <f t="shared" si="91"/>
        <v>0</v>
      </c>
      <c r="V273" s="369">
        <f t="shared" si="91"/>
        <v>0</v>
      </c>
      <c r="W273" s="369">
        <f t="shared" si="91"/>
        <v>0</v>
      </c>
      <c r="X273" s="369">
        <f t="shared" si="91"/>
        <v>0</v>
      </c>
      <c r="Y273" s="369">
        <f t="shared" si="91"/>
        <v>0</v>
      </c>
      <c r="Z273" s="369">
        <f t="shared" si="91"/>
        <v>0</v>
      </c>
      <c r="AA273" s="369">
        <f t="shared" si="91"/>
        <v>0</v>
      </c>
      <c r="AB273" s="369">
        <f t="shared" si="91"/>
        <v>0</v>
      </c>
      <c r="AC273" s="369">
        <f t="shared" si="91"/>
        <v>0</v>
      </c>
      <c r="AD273" s="369">
        <f t="shared" si="91"/>
        <v>0</v>
      </c>
      <c r="AE273" s="369">
        <f t="shared" si="91"/>
        <v>0</v>
      </c>
      <c r="AF273" s="369">
        <f t="shared" si="91"/>
        <v>0</v>
      </c>
      <c r="AG273" s="369">
        <f t="shared" si="91"/>
        <v>0</v>
      </c>
      <c r="AH273" s="369">
        <f t="shared" si="91"/>
        <v>0</v>
      </c>
      <c r="AI273" s="369">
        <f t="shared" si="91"/>
        <v>0</v>
      </c>
      <c r="AJ273" s="369">
        <f t="shared" si="91"/>
        <v>0</v>
      </c>
      <c r="AK273" s="369">
        <f t="shared" si="91"/>
        <v>0</v>
      </c>
      <c r="AL273" s="369">
        <f t="shared" si="91"/>
        <v>0</v>
      </c>
      <c r="AM273" s="369">
        <f t="shared" si="91"/>
        <v>0</v>
      </c>
      <c r="AN273" s="369">
        <f t="shared" si="91"/>
        <v>0</v>
      </c>
      <c r="AO273" s="369">
        <f t="shared" si="91"/>
        <v>0</v>
      </c>
      <c r="AP273" s="369">
        <f t="shared" si="91"/>
        <v>0</v>
      </c>
      <c r="AQ273" s="369">
        <f t="shared" si="91"/>
        <v>0</v>
      </c>
      <c r="AR273" s="369">
        <f t="shared" si="91"/>
        <v>0</v>
      </c>
      <c r="AS273" s="369">
        <f t="shared" si="91"/>
        <v>0</v>
      </c>
      <c r="AT273" s="369">
        <f t="shared" si="91"/>
        <v>0</v>
      </c>
      <c r="AU273" s="369">
        <f t="shared" si="91"/>
        <v>0</v>
      </c>
      <c r="AV273" s="369">
        <f t="shared" si="91"/>
        <v>0</v>
      </c>
      <c r="AW273" s="369">
        <f t="shared" si="91"/>
        <v>0</v>
      </c>
      <c r="AX273" s="369">
        <f t="shared" si="91"/>
        <v>0</v>
      </c>
      <c r="AY273" s="369">
        <f t="shared" si="91"/>
        <v>0</v>
      </c>
      <c r="AZ273" s="369">
        <f t="shared" si="91"/>
        <v>0</v>
      </c>
      <c r="BA273" s="369">
        <f t="shared" si="91"/>
        <v>0</v>
      </c>
      <c r="BB273" s="369">
        <f t="shared" si="91"/>
        <v>0</v>
      </c>
      <c r="BC273" s="369">
        <f t="shared" si="91"/>
        <v>0</v>
      </c>
      <c r="BD273" s="369">
        <f t="shared" si="91"/>
        <v>0</v>
      </c>
      <c r="BE273" s="1335">
        <f t="shared" si="91"/>
        <v>0</v>
      </c>
    </row>
    <row r="274" spans="2:57" x14ac:dyDescent="0.25">
      <c r="B274" s="358" t="s">
        <v>190</v>
      </c>
      <c r="C274" s="359"/>
      <c r="D274" s="359"/>
      <c r="E274" s="362"/>
      <c r="F274" s="362" t="s">
        <v>22</v>
      </c>
      <c r="G274" s="369"/>
      <c r="H274" s="369">
        <f>(H727+H728)</f>
        <v>0</v>
      </c>
      <c r="I274" s="369">
        <f t="shared" ref="I274:BE274" si="92">(I727+I728)</f>
        <v>0</v>
      </c>
      <c r="J274" s="369">
        <f t="shared" si="92"/>
        <v>0</v>
      </c>
      <c r="K274" s="369">
        <f t="shared" si="92"/>
        <v>0</v>
      </c>
      <c r="L274" s="369">
        <f t="shared" si="92"/>
        <v>0</v>
      </c>
      <c r="M274" s="369">
        <f t="shared" si="92"/>
        <v>0</v>
      </c>
      <c r="N274" s="369">
        <f t="shared" si="92"/>
        <v>0</v>
      </c>
      <c r="O274" s="369">
        <f t="shared" si="92"/>
        <v>0</v>
      </c>
      <c r="P274" s="369">
        <f t="shared" si="92"/>
        <v>0</v>
      </c>
      <c r="Q274" s="369">
        <f t="shared" si="92"/>
        <v>0</v>
      </c>
      <c r="R274" s="369">
        <f t="shared" si="92"/>
        <v>0</v>
      </c>
      <c r="S274" s="369">
        <f t="shared" si="92"/>
        <v>0</v>
      </c>
      <c r="T274" s="369">
        <f t="shared" si="92"/>
        <v>0</v>
      </c>
      <c r="U274" s="369">
        <f t="shared" si="92"/>
        <v>0</v>
      </c>
      <c r="V274" s="369">
        <f t="shared" si="92"/>
        <v>0</v>
      </c>
      <c r="W274" s="369">
        <f t="shared" si="92"/>
        <v>0</v>
      </c>
      <c r="X274" s="369">
        <f t="shared" si="92"/>
        <v>0</v>
      </c>
      <c r="Y274" s="369">
        <f t="shared" si="92"/>
        <v>0</v>
      </c>
      <c r="Z274" s="369">
        <f t="shared" si="92"/>
        <v>0</v>
      </c>
      <c r="AA274" s="369">
        <f t="shared" si="92"/>
        <v>0</v>
      </c>
      <c r="AB274" s="369">
        <f t="shared" si="92"/>
        <v>0</v>
      </c>
      <c r="AC274" s="369">
        <f t="shared" si="92"/>
        <v>0</v>
      </c>
      <c r="AD274" s="369">
        <f t="shared" si="92"/>
        <v>0</v>
      </c>
      <c r="AE274" s="369">
        <f t="shared" si="92"/>
        <v>0</v>
      </c>
      <c r="AF274" s="369">
        <f t="shared" si="92"/>
        <v>0</v>
      </c>
      <c r="AG274" s="369">
        <f t="shared" si="92"/>
        <v>0</v>
      </c>
      <c r="AH274" s="369">
        <f t="shared" si="92"/>
        <v>0</v>
      </c>
      <c r="AI274" s="369">
        <f t="shared" si="92"/>
        <v>0</v>
      </c>
      <c r="AJ274" s="369">
        <f t="shared" si="92"/>
        <v>0</v>
      </c>
      <c r="AK274" s="369">
        <f t="shared" si="92"/>
        <v>0</v>
      </c>
      <c r="AL274" s="369">
        <f t="shared" si="92"/>
        <v>0</v>
      </c>
      <c r="AM274" s="369">
        <f t="shared" si="92"/>
        <v>0</v>
      </c>
      <c r="AN274" s="369">
        <f t="shared" si="92"/>
        <v>0</v>
      </c>
      <c r="AO274" s="369">
        <f t="shared" si="92"/>
        <v>0</v>
      </c>
      <c r="AP274" s="369">
        <f t="shared" si="92"/>
        <v>0</v>
      </c>
      <c r="AQ274" s="369">
        <f t="shared" si="92"/>
        <v>0</v>
      </c>
      <c r="AR274" s="369">
        <f t="shared" si="92"/>
        <v>0</v>
      </c>
      <c r="AS274" s="369">
        <f t="shared" si="92"/>
        <v>0</v>
      </c>
      <c r="AT274" s="369">
        <f t="shared" si="92"/>
        <v>0</v>
      </c>
      <c r="AU274" s="369">
        <f t="shared" si="92"/>
        <v>0</v>
      </c>
      <c r="AV274" s="369">
        <f t="shared" si="92"/>
        <v>0</v>
      </c>
      <c r="AW274" s="369">
        <f t="shared" si="92"/>
        <v>0</v>
      </c>
      <c r="AX274" s="369">
        <f t="shared" si="92"/>
        <v>0</v>
      </c>
      <c r="AY274" s="369">
        <f t="shared" si="92"/>
        <v>0</v>
      </c>
      <c r="AZ274" s="369">
        <f t="shared" si="92"/>
        <v>0</v>
      </c>
      <c r="BA274" s="369">
        <f t="shared" si="92"/>
        <v>0</v>
      </c>
      <c r="BB274" s="369">
        <f t="shared" si="92"/>
        <v>0</v>
      </c>
      <c r="BC274" s="369">
        <f t="shared" si="92"/>
        <v>0</v>
      </c>
      <c r="BD274" s="369">
        <f t="shared" si="92"/>
        <v>0</v>
      </c>
      <c r="BE274" s="1335">
        <f t="shared" si="92"/>
        <v>0</v>
      </c>
    </row>
    <row r="275" spans="2:57" x14ac:dyDescent="0.25">
      <c r="B275" s="358" t="s">
        <v>134</v>
      </c>
      <c r="C275" s="359"/>
      <c r="D275" s="359"/>
      <c r="E275" s="362"/>
      <c r="F275" s="362" t="s">
        <v>22</v>
      </c>
      <c r="G275" s="369"/>
      <c r="H275" s="369">
        <f>(H757+H758)</f>
        <v>0</v>
      </c>
      <c r="I275" s="369">
        <f t="shared" ref="I275:BE275" si="93">(I757+I758)</f>
        <v>0</v>
      </c>
      <c r="J275" s="369">
        <f t="shared" si="93"/>
        <v>0</v>
      </c>
      <c r="K275" s="369">
        <f t="shared" si="93"/>
        <v>0</v>
      </c>
      <c r="L275" s="369">
        <f t="shared" si="93"/>
        <v>0</v>
      </c>
      <c r="M275" s="369">
        <f t="shared" si="93"/>
        <v>0</v>
      </c>
      <c r="N275" s="369">
        <f t="shared" si="93"/>
        <v>0</v>
      </c>
      <c r="O275" s="369">
        <f t="shared" si="93"/>
        <v>0</v>
      </c>
      <c r="P275" s="369">
        <f t="shared" si="93"/>
        <v>0</v>
      </c>
      <c r="Q275" s="369">
        <f t="shared" si="93"/>
        <v>0</v>
      </c>
      <c r="R275" s="369">
        <f t="shared" si="93"/>
        <v>0</v>
      </c>
      <c r="S275" s="369">
        <f t="shared" si="93"/>
        <v>0</v>
      </c>
      <c r="T275" s="369">
        <f t="shared" si="93"/>
        <v>0</v>
      </c>
      <c r="U275" s="369">
        <f t="shared" si="93"/>
        <v>0</v>
      </c>
      <c r="V275" s="369">
        <f t="shared" si="93"/>
        <v>0</v>
      </c>
      <c r="W275" s="369">
        <f t="shared" si="93"/>
        <v>0</v>
      </c>
      <c r="X275" s="369">
        <f t="shared" si="93"/>
        <v>0</v>
      </c>
      <c r="Y275" s="369">
        <f t="shared" si="93"/>
        <v>0</v>
      </c>
      <c r="Z275" s="369">
        <f t="shared" si="93"/>
        <v>0</v>
      </c>
      <c r="AA275" s="369">
        <f t="shared" si="93"/>
        <v>0</v>
      </c>
      <c r="AB275" s="369">
        <f t="shared" si="93"/>
        <v>0</v>
      </c>
      <c r="AC275" s="369">
        <f t="shared" si="93"/>
        <v>0</v>
      </c>
      <c r="AD275" s="369">
        <f t="shared" si="93"/>
        <v>0</v>
      </c>
      <c r="AE275" s="369">
        <f t="shared" si="93"/>
        <v>0</v>
      </c>
      <c r="AF275" s="369">
        <f t="shared" si="93"/>
        <v>0</v>
      </c>
      <c r="AG275" s="369">
        <f t="shared" si="93"/>
        <v>0</v>
      </c>
      <c r="AH275" s="369">
        <f t="shared" si="93"/>
        <v>0</v>
      </c>
      <c r="AI275" s="369">
        <f t="shared" si="93"/>
        <v>0</v>
      </c>
      <c r="AJ275" s="369">
        <f t="shared" si="93"/>
        <v>0</v>
      </c>
      <c r="AK275" s="369">
        <f t="shared" si="93"/>
        <v>0</v>
      </c>
      <c r="AL275" s="369">
        <f t="shared" si="93"/>
        <v>0</v>
      </c>
      <c r="AM275" s="369">
        <f t="shared" si="93"/>
        <v>0</v>
      </c>
      <c r="AN275" s="369">
        <f t="shared" si="93"/>
        <v>0</v>
      </c>
      <c r="AO275" s="369">
        <f t="shared" si="93"/>
        <v>0</v>
      </c>
      <c r="AP275" s="369">
        <f t="shared" si="93"/>
        <v>0</v>
      </c>
      <c r="AQ275" s="369">
        <f t="shared" si="93"/>
        <v>0</v>
      </c>
      <c r="AR275" s="369">
        <f t="shared" si="93"/>
        <v>0</v>
      </c>
      <c r="AS275" s="369">
        <f t="shared" si="93"/>
        <v>0</v>
      </c>
      <c r="AT275" s="369">
        <f t="shared" si="93"/>
        <v>0</v>
      </c>
      <c r="AU275" s="369">
        <f t="shared" si="93"/>
        <v>0</v>
      </c>
      <c r="AV275" s="369">
        <f t="shared" si="93"/>
        <v>0</v>
      </c>
      <c r="AW275" s="369">
        <f t="shared" si="93"/>
        <v>0</v>
      </c>
      <c r="AX275" s="369">
        <f t="shared" si="93"/>
        <v>0</v>
      </c>
      <c r="AY275" s="369">
        <f t="shared" si="93"/>
        <v>0</v>
      </c>
      <c r="AZ275" s="369">
        <f t="shared" si="93"/>
        <v>0</v>
      </c>
      <c r="BA275" s="369">
        <f t="shared" si="93"/>
        <v>0</v>
      </c>
      <c r="BB275" s="369">
        <f t="shared" si="93"/>
        <v>0</v>
      </c>
      <c r="BC275" s="369">
        <f t="shared" si="93"/>
        <v>0</v>
      </c>
      <c r="BD275" s="369">
        <f t="shared" si="93"/>
        <v>0</v>
      </c>
      <c r="BE275" s="1335">
        <f t="shared" si="93"/>
        <v>0</v>
      </c>
    </row>
    <row r="276" spans="2:57" x14ac:dyDescent="0.25">
      <c r="B276" s="358"/>
      <c r="C276" s="359"/>
      <c r="D276" s="359"/>
      <c r="E276" s="362"/>
      <c r="F276" s="362"/>
      <c r="G276" s="369"/>
      <c r="H276" s="369"/>
      <c r="I276" s="369"/>
      <c r="J276" s="369"/>
      <c r="K276" s="369"/>
      <c r="L276" s="369"/>
      <c r="M276" s="369"/>
      <c r="N276" s="369"/>
      <c r="O276" s="369"/>
      <c r="P276" s="369"/>
      <c r="Q276" s="369"/>
      <c r="R276" s="369"/>
      <c r="S276" s="369"/>
      <c r="T276" s="369"/>
      <c r="U276" s="369"/>
      <c r="V276" s="369"/>
      <c r="W276" s="369"/>
      <c r="X276" s="369"/>
      <c r="Y276" s="369"/>
      <c r="Z276" s="369"/>
      <c r="AA276" s="369"/>
      <c r="AB276" s="369"/>
      <c r="AC276" s="369"/>
      <c r="AD276" s="369"/>
      <c r="AE276" s="369"/>
      <c r="AF276" s="369"/>
      <c r="AG276" s="369"/>
      <c r="AH276" s="369"/>
      <c r="AI276" s="369"/>
      <c r="AJ276" s="369"/>
      <c r="AK276" s="369"/>
      <c r="AL276" s="369"/>
      <c r="AM276" s="369"/>
      <c r="AN276" s="369"/>
      <c r="AO276" s="369"/>
      <c r="AP276" s="369"/>
      <c r="AQ276" s="369"/>
      <c r="AR276" s="369"/>
      <c r="AS276" s="369"/>
      <c r="AT276" s="369"/>
      <c r="AU276" s="369"/>
      <c r="AV276" s="369"/>
      <c r="AW276" s="369"/>
      <c r="AX276" s="369"/>
      <c r="AY276" s="369"/>
      <c r="AZ276" s="369"/>
      <c r="BA276" s="369"/>
      <c r="BB276" s="369"/>
      <c r="BC276" s="369"/>
      <c r="BD276" s="369"/>
      <c r="BE276" s="1335"/>
    </row>
    <row r="277" spans="2:57" x14ac:dyDescent="0.25">
      <c r="B277" s="358"/>
      <c r="C277" s="359"/>
      <c r="D277" s="359"/>
      <c r="E277" s="362"/>
      <c r="F277" s="362"/>
      <c r="G277" s="369"/>
      <c r="H277" s="369"/>
      <c r="I277" s="369"/>
      <c r="J277" s="369"/>
      <c r="K277" s="369"/>
      <c r="L277" s="369"/>
      <c r="M277" s="369"/>
      <c r="N277" s="369"/>
      <c r="O277" s="369"/>
      <c r="P277" s="369"/>
      <c r="Q277" s="369"/>
      <c r="R277" s="369"/>
      <c r="S277" s="369"/>
      <c r="T277" s="369"/>
      <c r="U277" s="369"/>
      <c r="V277" s="369"/>
      <c r="W277" s="369"/>
      <c r="X277" s="369"/>
      <c r="Y277" s="369"/>
      <c r="Z277" s="369"/>
      <c r="AA277" s="369"/>
      <c r="AB277" s="369"/>
      <c r="AC277" s="369"/>
      <c r="AD277" s="369"/>
      <c r="AE277" s="369"/>
      <c r="AF277" s="369"/>
      <c r="AG277" s="369"/>
      <c r="AH277" s="369"/>
      <c r="AI277" s="369"/>
      <c r="AJ277" s="369"/>
      <c r="AK277" s="369"/>
      <c r="AL277" s="369"/>
      <c r="AM277" s="369"/>
      <c r="AN277" s="369"/>
      <c r="AO277" s="369"/>
      <c r="AP277" s="369"/>
      <c r="AQ277" s="369"/>
      <c r="AR277" s="369"/>
      <c r="AS277" s="369"/>
      <c r="AT277" s="369"/>
      <c r="AU277" s="369"/>
      <c r="AV277" s="369"/>
      <c r="AW277" s="369"/>
      <c r="AX277" s="369"/>
      <c r="AY277" s="369"/>
      <c r="AZ277" s="369"/>
      <c r="BA277" s="369"/>
      <c r="BB277" s="369"/>
      <c r="BC277" s="369"/>
      <c r="BD277" s="369"/>
      <c r="BE277" s="1335"/>
    </row>
    <row r="278" spans="2:57" x14ac:dyDescent="0.25">
      <c r="B278" s="370" t="s">
        <v>133</v>
      </c>
      <c r="C278" s="359"/>
      <c r="D278" s="359"/>
      <c r="E278" s="362"/>
      <c r="F278" s="362"/>
      <c r="G278" s="369"/>
      <c r="H278" s="369"/>
      <c r="I278" s="369"/>
      <c r="J278" s="369"/>
      <c r="K278" s="369"/>
      <c r="L278" s="369"/>
      <c r="M278" s="369"/>
      <c r="N278" s="369"/>
      <c r="O278" s="369"/>
      <c r="P278" s="369"/>
      <c r="Q278" s="369"/>
      <c r="R278" s="369"/>
      <c r="S278" s="369"/>
      <c r="T278" s="369"/>
      <c r="U278" s="369"/>
      <c r="V278" s="369"/>
      <c r="W278" s="369"/>
      <c r="X278" s="369"/>
      <c r="Y278" s="369"/>
      <c r="Z278" s="369"/>
      <c r="AA278" s="369"/>
      <c r="AB278" s="369"/>
      <c r="AC278" s="369"/>
      <c r="AD278" s="369"/>
      <c r="AE278" s="369"/>
      <c r="AF278" s="369"/>
      <c r="AG278" s="369"/>
      <c r="AH278" s="369"/>
      <c r="AI278" s="369"/>
      <c r="AJ278" s="369"/>
      <c r="AK278" s="369"/>
      <c r="AL278" s="369"/>
      <c r="AM278" s="369"/>
      <c r="AN278" s="369"/>
      <c r="AO278" s="369"/>
      <c r="AP278" s="369"/>
      <c r="AQ278" s="369"/>
      <c r="AR278" s="369"/>
      <c r="AS278" s="369"/>
      <c r="AT278" s="369"/>
      <c r="AU278" s="369"/>
      <c r="AV278" s="369"/>
      <c r="AW278" s="369"/>
      <c r="AX278" s="369"/>
      <c r="AY278" s="369"/>
      <c r="AZ278" s="369"/>
      <c r="BA278" s="369"/>
      <c r="BB278" s="369"/>
      <c r="BC278" s="369"/>
      <c r="BD278" s="369"/>
      <c r="BE278" s="1335"/>
    </row>
    <row r="279" spans="2:57" x14ac:dyDescent="0.25">
      <c r="B279" s="358"/>
      <c r="C279" s="359"/>
      <c r="D279" s="359"/>
      <c r="E279" s="362"/>
      <c r="F279" s="362"/>
      <c r="G279" s="369"/>
      <c r="H279" s="369"/>
      <c r="I279" s="369"/>
      <c r="J279" s="369"/>
      <c r="K279" s="369"/>
      <c r="L279" s="369"/>
      <c r="M279" s="369"/>
      <c r="N279" s="369"/>
      <c r="O279" s="369"/>
      <c r="P279" s="369"/>
      <c r="Q279" s="369"/>
      <c r="R279" s="369"/>
      <c r="S279" s="369"/>
      <c r="T279" s="369"/>
      <c r="U279" s="369"/>
      <c r="V279" s="369"/>
      <c r="W279" s="369"/>
      <c r="X279" s="369"/>
      <c r="Y279" s="369"/>
      <c r="Z279" s="369"/>
      <c r="AA279" s="369"/>
      <c r="AB279" s="369"/>
      <c r="AC279" s="369"/>
      <c r="AD279" s="369"/>
      <c r="AE279" s="369"/>
      <c r="AF279" s="369"/>
      <c r="AG279" s="369"/>
      <c r="AH279" s="369"/>
      <c r="AI279" s="369"/>
      <c r="AJ279" s="369"/>
      <c r="AK279" s="369"/>
      <c r="AL279" s="369"/>
      <c r="AM279" s="369"/>
      <c r="AN279" s="369"/>
      <c r="AO279" s="369"/>
      <c r="AP279" s="369"/>
      <c r="AQ279" s="369"/>
      <c r="AR279" s="369"/>
      <c r="AS279" s="369"/>
      <c r="AT279" s="369"/>
      <c r="AU279" s="369"/>
      <c r="AV279" s="369"/>
      <c r="AW279" s="369"/>
      <c r="AX279" s="369"/>
      <c r="AY279" s="369"/>
      <c r="AZ279" s="369"/>
      <c r="BA279" s="369"/>
      <c r="BB279" s="369"/>
      <c r="BC279" s="369"/>
      <c r="BD279" s="369"/>
      <c r="BE279" s="1335"/>
    </row>
    <row r="280" spans="2:57" x14ac:dyDescent="0.25">
      <c r="B280" s="358" t="str">
        <f>B258</f>
        <v>Operations &amp; Maintenance Expenses, excluding fuel cost</v>
      </c>
      <c r="C280" s="359"/>
      <c r="D280" s="359"/>
      <c r="E280" s="362"/>
      <c r="F280" s="362" t="s">
        <v>22</v>
      </c>
      <c r="G280" s="369"/>
      <c r="H280" s="369">
        <f>-H258</f>
        <v>0</v>
      </c>
      <c r="I280" s="369">
        <f t="shared" ref="I280:BE280" si="94">-I258</f>
        <v>0</v>
      </c>
      <c r="J280" s="369">
        <f t="shared" si="94"/>
        <v>0</v>
      </c>
      <c r="K280" s="369">
        <f t="shared" si="94"/>
        <v>0</v>
      </c>
      <c r="L280" s="369">
        <f t="shared" si="94"/>
        <v>0</v>
      </c>
      <c r="M280" s="369">
        <f t="shared" si="94"/>
        <v>0</v>
      </c>
      <c r="N280" s="369">
        <f t="shared" si="94"/>
        <v>0</v>
      </c>
      <c r="O280" s="369">
        <f t="shared" si="94"/>
        <v>0</v>
      </c>
      <c r="P280" s="369">
        <f t="shared" si="94"/>
        <v>0</v>
      </c>
      <c r="Q280" s="369">
        <f t="shared" si="94"/>
        <v>0</v>
      </c>
      <c r="R280" s="369">
        <f t="shared" si="94"/>
        <v>0</v>
      </c>
      <c r="S280" s="369">
        <f t="shared" si="94"/>
        <v>0</v>
      </c>
      <c r="T280" s="369">
        <f t="shared" si="94"/>
        <v>0</v>
      </c>
      <c r="U280" s="369">
        <f t="shared" si="94"/>
        <v>0</v>
      </c>
      <c r="V280" s="369">
        <f t="shared" si="94"/>
        <v>0</v>
      </c>
      <c r="W280" s="369">
        <f t="shared" si="94"/>
        <v>0</v>
      </c>
      <c r="X280" s="369">
        <f t="shared" si="94"/>
        <v>0</v>
      </c>
      <c r="Y280" s="369">
        <f t="shared" si="94"/>
        <v>0</v>
      </c>
      <c r="Z280" s="369">
        <f t="shared" si="94"/>
        <v>0</v>
      </c>
      <c r="AA280" s="369">
        <f t="shared" si="94"/>
        <v>0</v>
      </c>
      <c r="AB280" s="369">
        <f t="shared" si="94"/>
        <v>0</v>
      </c>
      <c r="AC280" s="369">
        <f t="shared" si="94"/>
        <v>0</v>
      </c>
      <c r="AD280" s="369">
        <f t="shared" si="94"/>
        <v>0</v>
      </c>
      <c r="AE280" s="369">
        <f t="shared" si="94"/>
        <v>0</v>
      </c>
      <c r="AF280" s="369">
        <f t="shared" si="94"/>
        <v>0</v>
      </c>
      <c r="AG280" s="369">
        <f t="shared" si="94"/>
        <v>0</v>
      </c>
      <c r="AH280" s="369">
        <f t="shared" si="94"/>
        <v>0</v>
      </c>
      <c r="AI280" s="369">
        <f t="shared" si="94"/>
        <v>0</v>
      </c>
      <c r="AJ280" s="369">
        <f t="shared" si="94"/>
        <v>0</v>
      </c>
      <c r="AK280" s="369">
        <f t="shared" si="94"/>
        <v>0</v>
      </c>
      <c r="AL280" s="369">
        <f t="shared" si="94"/>
        <v>0</v>
      </c>
      <c r="AM280" s="369">
        <f t="shared" si="94"/>
        <v>0</v>
      </c>
      <c r="AN280" s="369">
        <f t="shared" si="94"/>
        <v>0</v>
      </c>
      <c r="AO280" s="369">
        <f t="shared" si="94"/>
        <v>0</v>
      </c>
      <c r="AP280" s="369">
        <f t="shared" si="94"/>
        <v>0</v>
      </c>
      <c r="AQ280" s="369">
        <f t="shared" si="94"/>
        <v>0</v>
      </c>
      <c r="AR280" s="369">
        <f t="shared" si="94"/>
        <v>0</v>
      </c>
      <c r="AS280" s="369">
        <f t="shared" si="94"/>
        <v>0</v>
      </c>
      <c r="AT280" s="369">
        <f t="shared" si="94"/>
        <v>0</v>
      </c>
      <c r="AU280" s="369">
        <f t="shared" si="94"/>
        <v>0</v>
      </c>
      <c r="AV280" s="369">
        <f t="shared" si="94"/>
        <v>0</v>
      </c>
      <c r="AW280" s="369">
        <f t="shared" si="94"/>
        <v>0</v>
      </c>
      <c r="AX280" s="369">
        <f t="shared" si="94"/>
        <v>0</v>
      </c>
      <c r="AY280" s="369">
        <f t="shared" si="94"/>
        <v>0</v>
      </c>
      <c r="AZ280" s="369">
        <f t="shared" si="94"/>
        <v>0</v>
      </c>
      <c r="BA280" s="369">
        <f t="shared" si="94"/>
        <v>0</v>
      </c>
      <c r="BB280" s="369">
        <f t="shared" si="94"/>
        <v>0</v>
      </c>
      <c r="BC280" s="369">
        <f t="shared" si="94"/>
        <v>0</v>
      </c>
      <c r="BD280" s="369">
        <f t="shared" si="94"/>
        <v>0</v>
      </c>
      <c r="BE280" s="1335">
        <f t="shared" si="94"/>
        <v>0</v>
      </c>
    </row>
    <row r="281" spans="2:57" x14ac:dyDescent="0.25">
      <c r="B281" s="358" t="s">
        <v>41</v>
      </c>
      <c r="C281" s="359"/>
      <c r="D281" s="359"/>
      <c r="E281" s="362"/>
      <c r="F281" s="362" t="s">
        <v>22</v>
      </c>
      <c r="G281" s="369"/>
      <c r="H281" s="369">
        <f>-H266</f>
        <v>0</v>
      </c>
      <c r="I281" s="369">
        <f t="shared" ref="I281:BE281" si="95">-I266</f>
        <v>0</v>
      </c>
      <c r="J281" s="369">
        <f t="shared" si="95"/>
        <v>0</v>
      </c>
      <c r="K281" s="369">
        <f t="shared" si="95"/>
        <v>0</v>
      </c>
      <c r="L281" s="369">
        <f t="shared" si="95"/>
        <v>0</v>
      </c>
      <c r="M281" s="369">
        <f t="shared" si="95"/>
        <v>0</v>
      </c>
      <c r="N281" s="369">
        <f t="shared" si="95"/>
        <v>0</v>
      </c>
      <c r="O281" s="369">
        <f t="shared" si="95"/>
        <v>0</v>
      </c>
      <c r="P281" s="369">
        <f t="shared" si="95"/>
        <v>0</v>
      </c>
      <c r="Q281" s="369">
        <f t="shared" si="95"/>
        <v>0</v>
      </c>
      <c r="R281" s="369">
        <f t="shared" si="95"/>
        <v>0</v>
      </c>
      <c r="S281" s="369">
        <f t="shared" si="95"/>
        <v>0</v>
      </c>
      <c r="T281" s="369">
        <f t="shared" si="95"/>
        <v>0</v>
      </c>
      <c r="U281" s="369">
        <f t="shared" si="95"/>
        <v>0</v>
      </c>
      <c r="V281" s="369">
        <f t="shared" si="95"/>
        <v>0</v>
      </c>
      <c r="W281" s="369">
        <f t="shared" si="95"/>
        <v>0</v>
      </c>
      <c r="X281" s="369">
        <f t="shared" si="95"/>
        <v>0</v>
      </c>
      <c r="Y281" s="369">
        <f t="shared" si="95"/>
        <v>0</v>
      </c>
      <c r="Z281" s="369">
        <f t="shared" si="95"/>
        <v>0</v>
      </c>
      <c r="AA281" s="369">
        <f t="shared" si="95"/>
        <v>0</v>
      </c>
      <c r="AB281" s="369">
        <f t="shared" si="95"/>
        <v>0</v>
      </c>
      <c r="AC281" s="369">
        <f t="shared" si="95"/>
        <v>0</v>
      </c>
      <c r="AD281" s="369">
        <f t="shared" si="95"/>
        <v>0</v>
      </c>
      <c r="AE281" s="369">
        <f t="shared" si="95"/>
        <v>0</v>
      </c>
      <c r="AF281" s="369">
        <f t="shared" si="95"/>
        <v>0</v>
      </c>
      <c r="AG281" s="369">
        <f t="shared" si="95"/>
        <v>0</v>
      </c>
      <c r="AH281" s="369">
        <f t="shared" si="95"/>
        <v>0</v>
      </c>
      <c r="AI281" s="369">
        <f t="shared" si="95"/>
        <v>0</v>
      </c>
      <c r="AJ281" s="369">
        <f t="shared" si="95"/>
        <v>0</v>
      </c>
      <c r="AK281" s="369">
        <f t="shared" si="95"/>
        <v>0</v>
      </c>
      <c r="AL281" s="369">
        <f t="shared" si="95"/>
        <v>0</v>
      </c>
      <c r="AM281" s="369">
        <f t="shared" si="95"/>
        <v>0</v>
      </c>
      <c r="AN281" s="369">
        <f t="shared" si="95"/>
        <v>0</v>
      </c>
      <c r="AO281" s="369">
        <f t="shared" si="95"/>
        <v>0</v>
      </c>
      <c r="AP281" s="369">
        <f t="shared" si="95"/>
        <v>0</v>
      </c>
      <c r="AQ281" s="369">
        <f t="shared" si="95"/>
        <v>0</v>
      </c>
      <c r="AR281" s="369">
        <f t="shared" si="95"/>
        <v>0</v>
      </c>
      <c r="AS281" s="369">
        <f t="shared" si="95"/>
        <v>0</v>
      </c>
      <c r="AT281" s="369">
        <f t="shared" si="95"/>
        <v>0</v>
      </c>
      <c r="AU281" s="369">
        <f t="shared" si="95"/>
        <v>0</v>
      </c>
      <c r="AV281" s="369">
        <f t="shared" si="95"/>
        <v>0</v>
      </c>
      <c r="AW281" s="369">
        <f t="shared" si="95"/>
        <v>0</v>
      </c>
      <c r="AX281" s="369">
        <f t="shared" si="95"/>
        <v>0</v>
      </c>
      <c r="AY281" s="369">
        <f t="shared" si="95"/>
        <v>0</v>
      </c>
      <c r="AZ281" s="369">
        <f t="shared" si="95"/>
        <v>0</v>
      </c>
      <c r="BA281" s="369">
        <f t="shared" si="95"/>
        <v>0</v>
      </c>
      <c r="BB281" s="369">
        <f t="shared" si="95"/>
        <v>0</v>
      </c>
      <c r="BC281" s="369">
        <f t="shared" si="95"/>
        <v>0</v>
      </c>
      <c r="BD281" s="369">
        <f t="shared" si="95"/>
        <v>0</v>
      </c>
      <c r="BE281" s="1335">
        <f t="shared" si="95"/>
        <v>0</v>
      </c>
    </row>
    <row r="282" spans="2:57" x14ac:dyDescent="0.25">
      <c r="B282" s="358" t="str">
        <f>B273</f>
        <v xml:space="preserve">Front-end Fees </v>
      </c>
      <c r="C282" s="359"/>
      <c r="D282" s="359"/>
      <c r="E282" s="362"/>
      <c r="F282" s="362" t="s">
        <v>22</v>
      </c>
      <c r="G282" s="369"/>
      <c r="H282" s="369">
        <f>-H273</f>
        <v>0</v>
      </c>
      <c r="I282" s="369">
        <f t="shared" ref="I282:BE282" si="96">-I273</f>
        <v>0</v>
      </c>
      <c r="J282" s="369">
        <f t="shared" si="96"/>
        <v>0</v>
      </c>
      <c r="K282" s="369">
        <f t="shared" si="96"/>
        <v>0</v>
      </c>
      <c r="L282" s="369">
        <f t="shared" si="96"/>
        <v>0</v>
      </c>
      <c r="M282" s="369">
        <f t="shared" si="96"/>
        <v>0</v>
      </c>
      <c r="N282" s="369">
        <f t="shared" si="96"/>
        <v>0</v>
      </c>
      <c r="O282" s="369">
        <f t="shared" si="96"/>
        <v>0</v>
      </c>
      <c r="P282" s="369">
        <f t="shared" si="96"/>
        <v>0</v>
      </c>
      <c r="Q282" s="369">
        <f t="shared" si="96"/>
        <v>0</v>
      </c>
      <c r="R282" s="369">
        <f t="shared" si="96"/>
        <v>0</v>
      </c>
      <c r="S282" s="369">
        <f t="shared" si="96"/>
        <v>0</v>
      </c>
      <c r="T282" s="369">
        <f t="shared" si="96"/>
        <v>0</v>
      </c>
      <c r="U282" s="369">
        <f t="shared" si="96"/>
        <v>0</v>
      </c>
      <c r="V282" s="369">
        <f t="shared" si="96"/>
        <v>0</v>
      </c>
      <c r="W282" s="369">
        <f t="shared" si="96"/>
        <v>0</v>
      </c>
      <c r="X282" s="369">
        <f t="shared" si="96"/>
        <v>0</v>
      </c>
      <c r="Y282" s="369">
        <f t="shared" si="96"/>
        <v>0</v>
      </c>
      <c r="Z282" s="369">
        <f t="shared" si="96"/>
        <v>0</v>
      </c>
      <c r="AA282" s="369">
        <f t="shared" si="96"/>
        <v>0</v>
      </c>
      <c r="AB282" s="369">
        <f t="shared" si="96"/>
        <v>0</v>
      </c>
      <c r="AC282" s="369">
        <f t="shared" si="96"/>
        <v>0</v>
      </c>
      <c r="AD282" s="369">
        <f t="shared" si="96"/>
        <v>0</v>
      </c>
      <c r="AE282" s="369">
        <f t="shared" si="96"/>
        <v>0</v>
      </c>
      <c r="AF282" s="369">
        <f t="shared" si="96"/>
        <v>0</v>
      </c>
      <c r="AG282" s="369">
        <f t="shared" si="96"/>
        <v>0</v>
      </c>
      <c r="AH282" s="369">
        <f t="shared" si="96"/>
        <v>0</v>
      </c>
      <c r="AI282" s="369">
        <f t="shared" si="96"/>
        <v>0</v>
      </c>
      <c r="AJ282" s="369">
        <f t="shared" si="96"/>
        <v>0</v>
      </c>
      <c r="AK282" s="369">
        <f t="shared" si="96"/>
        <v>0</v>
      </c>
      <c r="AL282" s="369">
        <f t="shared" si="96"/>
        <v>0</v>
      </c>
      <c r="AM282" s="369">
        <f t="shared" si="96"/>
        <v>0</v>
      </c>
      <c r="AN282" s="369">
        <f t="shared" si="96"/>
        <v>0</v>
      </c>
      <c r="AO282" s="369">
        <f t="shared" si="96"/>
        <v>0</v>
      </c>
      <c r="AP282" s="369">
        <f t="shared" si="96"/>
        <v>0</v>
      </c>
      <c r="AQ282" s="369">
        <f t="shared" si="96"/>
        <v>0</v>
      </c>
      <c r="AR282" s="369">
        <f t="shared" si="96"/>
        <v>0</v>
      </c>
      <c r="AS282" s="369">
        <f t="shared" si="96"/>
        <v>0</v>
      </c>
      <c r="AT282" s="369">
        <f t="shared" si="96"/>
        <v>0</v>
      </c>
      <c r="AU282" s="369">
        <f t="shared" si="96"/>
        <v>0</v>
      </c>
      <c r="AV282" s="369">
        <f t="shared" si="96"/>
        <v>0</v>
      </c>
      <c r="AW282" s="369">
        <f t="shared" si="96"/>
        <v>0</v>
      </c>
      <c r="AX282" s="369">
        <f t="shared" si="96"/>
        <v>0</v>
      </c>
      <c r="AY282" s="369">
        <f t="shared" si="96"/>
        <v>0</v>
      </c>
      <c r="AZ282" s="369">
        <f t="shared" si="96"/>
        <v>0</v>
      </c>
      <c r="BA282" s="369">
        <f t="shared" si="96"/>
        <v>0</v>
      </c>
      <c r="BB282" s="369">
        <f t="shared" si="96"/>
        <v>0</v>
      </c>
      <c r="BC282" s="369">
        <f t="shared" si="96"/>
        <v>0</v>
      </c>
      <c r="BD282" s="369">
        <f t="shared" si="96"/>
        <v>0</v>
      </c>
      <c r="BE282" s="1335">
        <f t="shared" si="96"/>
        <v>0</v>
      </c>
    </row>
    <row r="283" spans="2:57" x14ac:dyDescent="0.25">
      <c r="B283" s="358" t="str">
        <f>B274</f>
        <v xml:space="preserve">Public Guarantee Fees </v>
      </c>
      <c r="C283" s="359"/>
      <c r="D283" s="359"/>
      <c r="E283" s="362"/>
      <c r="F283" s="362" t="s">
        <v>22</v>
      </c>
      <c r="G283" s="369"/>
      <c r="H283" s="369">
        <f>-H274</f>
        <v>0</v>
      </c>
      <c r="I283" s="369">
        <f t="shared" ref="I283:BE283" si="97">-I274</f>
        <v>0</v>
      </c>
      <c r="J283" s="369">
        <f t="shared" si="97"/>
        <v>0</v>
      </c>
      <c r="K283" s="369">
        <f t="shared" si="97"/>
        <v>0</v>
      </c>
      <c r="L283" s="369">
        <f t="shared" si="97"/>
        <v>0</v>
      </c>
      <c r="M283" s="369">
        <f t="shared" si="97"/>
        <v>0</v>
      </c>
      <c r="N283" s="369">
        <f t="shared" si="97"/>
        <v>0</v>
      </c>
      <c r="O283" s="369">
        <f t="shared" si="97"/>
        <v>0</v>
      </c>
      <c r="P283" s="369">
        <f t="shared" si="97"/>
        <v>0</v>
      </c>
      <c r="Q283" s="369">
        <f t="shared" si="97"/>
        <v>0</v>
      </c>
      <c r="R283" s="369">
        <f t="shared" si="97"/>
        <v>0</v>
      </c>
      <c r="S283" s="369">
        <f t="shared" si="97"/>
        <v>0</v>
      </c>
      <c r="T283" s="369">
        <f t="shared" si="97"/>
        <v>0</v>
      </c>
      <c r="U283" s="369">
        <f t="shared" si="97"/>
        <v>0</v>
      </c>
      <c r="V283" s="369">
        <f t="shared" si="97"/>
        <v>0</v>
      </c>
      <c r="W283" s="369">
        <f t="shared" si="97"/>
        <v>0</v>
      </c>
      <c r="X283" s="369">
        <f t="shared" si="97"/>
        <v>0</v>
      </c>
      <c r="Y283" s="369">
        <f t="shared" si="97"/>
        <v>0</v>
      </c>
      <c r="Z283" s="369">
        <f t="shared" si="97"/>
        <v>0</v>
      </c>
      <c r="AA283" s="369">
        <f t="shared" si="97"/>
        <v>0</v>
      </c>
      <c r="AB283" s="369">
        <f t="shared" si="97"/>
        <v>0</v>
      </c>
      <c r="AC283" s="369">
        <f t="shared" si="97"/>
        <v>0</v>
      </c>
      <c r="AD283" s="369">
        <f t="shared" si="97"/>
        <v>0</v>
      </c>
      <c r="AE283" s="369">
        <f t="shared" si="97"/>
        <v>0</v>
      </c>
      <c r="AF283" s="369">
        <f t="shared" si="97"/>
        <v>0</v>
      </c>
      <c r="AG283" s="369">
        <f t="shared" si="97"/>
        <v>0</v>
      </c>
      <c r="AH283" s="369">
        <f t="shared" si="97"/>
        <v>0</v>
      </c>
      <c r="AI283" s="369">
        <f t="shared" si="97"/>
        <v>0</v>
      </c>
      <c r="AJ283" s="369">
        <f t="shared" si="97"/>
        <v>0</v>
      </c>
      <c r="AK283" s="369">
        <f t="shared" si="97"/>
        <v>0</v>
      </c>
      <c r="AL283" s="369">
        <f t="shared" si="97"/>
        <v>0</v>
      </c>
      <c r="AM283" s="369">
        <f t="shared" si="97"/>
        <v>0</v>
      </c>
      <c r="AN283" s="369">
        <f t="shared" si="97"/>
        <v>0</v>
      </c>
      <c r="AO283" s="369">
        <f t="shared" si="97"/>
        <v>0</v>
      </c>
      <c r="AP283" s="369">
        <f t="shared" si="97"/>
        <v>0</v>
      </c>
      <c r="AQ283" s="369">
        <f t="shared" si="97"/>
        <v>0</v>
      </c>
      <c r="AR283" s="369">
        <f t="shared" si="97"/>
        <v>0</v>
      </c>
      <c r="AS283" s="369">
        <f t="shared" si="97"/>
        <v>0</v>
      </c>
      <c r="AT283" s="369">
        <f t="shared" si="97"/>
        <v>0</v>
      </c>
      <c r="AU283" s="369">
        <f t="shared" si="97"/>
        <v>0</v>
      </c>
      <c r="AV283" s="369">
        <f t="shared" si="97"/>
        <v>0</v>
      </c>
      <c r="AW283" s="369">
        <f t="shared" si="97"/>
        <v>0</v>
      </c>
      <c r="AX283" s="369">
        <f t="shared" si="97"/>
        <v>0</v>
      </c>
      <c r="AY283" s="369">
        <f t="shared" si="97"/>
        <v>0</v>
      </c>
      <c r="AZ283" s="369">
        <f t="shared" si="97"/>
        <v>0</v>
      </c>
      <c r="BA283" s="369">
        <f t="shared" si="97"/>
        <v>0</v>
      </c>
      <c r="BB283" s="369">
        <f t="shared" si="97"/>
        <v>0</v>
      </c>
      <c r="BC283" s="369">
        <f t="shared" si="97"/>
        <v>0</v>
      </c>
      <c r="BD283" s="369">
        <f t="shared" si="97"/>
        <v>0</v>
      </c>
      <c r="BE283" s="1335">
        <f t="shared" si="97"/>
        <v>0</v>
      </c>
    </row>
    <row r="284" spans="2:57" x14ac:dyDescent="0.25">
      <c r="B284" s="358" t="str">
        <f>B275</f>
        <v>Political Risk Insurance - Fees &amp; Annual Premium Payments</v>
      </c>
      <c r="C284" s="359"/>
      <c r="D284" s="359"/>
      <c r="E284" s="362"/>
      <c r="F284" s="362" t="s">
        <v>22</v>
      </c>
      <c r="G284" s="369"/>
      <c r="H284" s="369">
        <f>-H275</f>
        <v>0</v>
      </c>
      <c r="I284" s="369">
        <f t="shared" ref="I284:BE284" si="98">-I275</f>
        <v>0</v>
      </c>
      <c r="J284" s="369">
        <f t="shared" si="98"/>
        <v>0</v>
      </c>
      <c r="K284" s="369">
        <f t="shared" si="98"/>
        <v>0</v>
      </c>
      <c r="L284" s="369">
        <f t="shared" si="98"/>
        <v>0</v>
      </c>
      <c r="M284" s="369">
        <f t="shared" si="98"/>
        <v>0</v>
      </c>
      <c r="N284" s="369">
        <f t="shared" si="98"/>
        <v>0</v>
      </c>
      <c r="O284" s="369">
        <f t="shared" si="98"/>
        <v>0</v>
      </c>
      <c r="P284" s="369">
        <f t="shared" si="98"/>
        <v>0</v>
      </c>
      <c r="Q284" s="369">
        <f t="shared" si="98"/>
        <v>0</v>
      </c>
      <c r="R284" s="369">
        <f t="shared" si="98"/>
        <v>0</v>
      </c>
      <c r="S284" s="369">
        <f t="shared" si="98"/>
        <v>0</v>
      </c>
      <c r="T284" s="369">
        <f t="shared" si="98"/>
        <v>0</v>
      </c>
      <c r="U284" s="369">
        <f t="shared" si="98"/>
        <v>0</v>
      </c>
      <c r="V284" s="369">
        <f t="shared" si="98"/>
        <v>0</v>
      </c>
      <c r="W284" s="369">
        <f t="shared" si="98"/>
        <v>0</v>
      </c>
      <c r="X284" s="369">
        <f t="shared" si="98"/>
        <v>0</v>
      </c>
      <c r="Y284" s="369">
        <f t="shared" si="98"/>
        <v>0</v>
      </c>
      <c r="Z284" s="369">
        <f t="shared" si="98"/>
        <v>0</v>
      </c>
      <c r="AA284" s="369">
        <f t="shared" si="98"/>
        <v>0</v>
      </c>
      <c r="AB284" s="369">
        <f t="shared" si="98"/>
        <v>0</v>
      </c>
      <c r="AC284" s="369">
        <f t="shared" si="98"/>
        <v>0</v>
      </c>
      <c r="AD284" s="369">
        <f t="shared" si="98"/>
        <v>0</v>
      </c>
      <c r="AE284" s="369">
        <f t="shared" si="98"/>
        <v>0</v>
      </c>
      <c r="AF284" s="369">
        <f t="shared" si="98"/>
        <v>0</v>
      </c>
      <c r="AG284" s="369">
        <f t="shared" si="98"/>
        <v>0</v>
      </c>
      <c r="AH284" s="369">
        <f t="shared" si="98"/>
        <v>0</v>
      </c>
      <c r="AI284" s="369">
        <f t="shared" si="98"/>
        <v>0</v>
      </c>
      <c r="AJ284" s="369">
        <f t="shared" si="98"/>
        <v>0</v>
      </c>
      <c r="AK284" s="369">
        <f t="shared" si="98"/>
        <v>0</v>
      </c>
      <c r="AL284" s="369">
        <f t="shared" si="98"/>
        <v>0</v>
      </c>
      <c r="AM284" s="369">
        <f t="shared" si="98"/>
        <v>0</v>
      </c>
      <c r="AN284" s="369">
        <f t="shared" si="98"/>
        <v>0</v>
      </c>
      <c r="AO284" s="369">
        <f t="shared" si="98"/>
        <v>0</v>
      </c>
      <c r="AP284" s="369">
        <f t="shared" si="98"/>
        <v>0</v>
      </c>
      <c r="AQ284" s="369">
        <f t="shared" si="98"/>
        <v>0</v>
      </c>
      <c r="AR284" s="369">
        <f t="shared" si="98"/>
        <v>0</v>
      </c>
      <c r="AS284" s="369">
        <f t="shared" si="98"/>
        <v>0</v>
      </c>
      <c r="AT284" s="369">
        <f t="shared" si="98"/>
        <v>0</v>
      </c>
      <c r="AU284" s="369">
        <f t="shared" si="98"/>
        <v>0</v>
      </c>
      <c r="AV284" s="369">
        <f t="shared" si="98"/>
        <v>0</v>
      </c>
      <c r="AW284" s="369">
        <f t="shared" si="98"/>
        <v>0</v>
      </c>
      <c r="AX284" s="369">
        <f t="shared" si="98"/>
        <v>0</v>
      </c>
      <c r="AY284" s="369">
        <f t="shared" si="98"/>
        <v>0</v>
      </c>
      <c r="AZ284" s="369">
        <f t="shared" si="98"/>
        <v>0</v>
      </c>
      <c r="BA284" s="369">
        <f t="shared" si="98"/>
        <v>0</v>
      </c>
      <c r="BB284" s="369">
        <f t="shared" si="98"/>
        <v>0</v>
      </c>
      <c r="BC284" s="369">
        <f t="shared" si="98"/>
        <v>0</v>
      </c>
      <c r="BD284" s="369">
        <f t="shared" si="98"/>
        <v>0</v>
      </c>
      <c r="BE284" s="1335">
        <f t="shared" si="98"/>
        <v>0</v>
      </c>
    </row>
    <row r="285" spans="2:57" x14ac:dyDescent="0.25">
      <c r="B285" s="358" t="s">
        <v>102</v>
      </c>
      <c r="C285" s="359"/>
      <c r="D285" s="359"/>
      <c r="E285" s="362"/>
      <c r="F285" s="362" t="s">
        <v>22</v>
      </c>
      <c r="G285" s="369"/>
      <c r="H285" s="369">
        <f>-(H696+H717+H738)</f>
        <v>0</v>
      </c>
      <c r="I285" s="369">
        <f t="shared" ref="I285:BE285" si="99">-(I696+I717+I738)</f>
        <v>0</v>
      </c>
      <c r="J285" s="369">
        <f t="shared" si="99"/>
        <v>0</v>
      </c>
      <c r="K285" s="369">
        <f t="shared" si="99"/>
        <v>0</v>
      </c>
      <c r="L285" s="369">
        <f t="shared" si="99"/>
        <v>0</v>
      </c>
      <c r="M285" s="369">
        <f t="shared" si="99"/>
        <v>0</v>
      </c>
      <c r="N285" s="369">
        <f t="shared" si="99"/>
        <v>0</v>
      </c>
      <c r="O285" s="369">
        <f t="shared" si="99"/>
        <v>0</v>
      </c>
      <c r="P285" s="369">
        <f t="shared" si="99"/>
        <v>0</v>
      </c>
      <c r="Q285" s="369">
        <f t="shared" si="99"/>
        <v>0</v>
      </c>
      <c r="R285" s="369">
        <f t="shared" si="99"/>
        <v>0</v>
      </c>
      <c r="S285" s="369">
        <f t="shared" si="99"/>
        <v>0</v>
      </c>
      <c r="T285" s="369">
        <f t="shared" si="99"/>
        <v>0</v>
      </c>
      <c r="U285" s="369">
        <f t="shared" si="99"/>
        <v>0</v>
      </c>
      <c r="V285" s="369">
        <f t="shared" si="99"/>
        <v>0</v>
      </c>
      <c r="W285" s="369">
        <f t="shared" si="99"/>
        <v>0</v>
      </c>
      <c r="X285" s="369">
        <f t="shared" si="99"/>
        <v>0</v>
      </c>
      <c r="Y285" s="369">
        <f t="shared" si="99"/>
        <v>0</v>
      </c>
      <c r="Z285" s="369">
        <f t="shared" si="99"/>
        <v>0</v>
      </c>
      <c r="AA285" s="369">
        <f t="shared" si="99"/>
        <v>0</v>
      </c>
      <c r="AB285" s="369">
        <f t="shared" si="99"/>
        <v>0</v>
      </c>
      <c r="AC285" s="369">
        <f t="shared" si="99"/>
        <v>0</v>
      </c>
      <c r="AD285" s="369">
        <f t="shared" si="99"/>
        <v>0</v>
      </c>
      <c r="AE285" s="369">
        <f t="shared" si="99"/>
        <v>0</v>
      </c>
      <c r="AF285" s="369">
        <f t="shared" si="99"/>
        <v>0</v>
      </c>
      <c r="AG285" s="369">
        <f t="shared" si="99"/>
        <v>0</v>
      </c>
      <c r="AH285" s="369">
        <f t="shared" si="99"/>
        <v>0</v>
      </c>
      <c r="AI285" s="369">
        <f t="shared" si="99"/>
        <v>0</v>
      </c>
      <c r="AJ285" s="369">
        <f t="shared" si="99"/>
        <v>0</v>
      </c>
      <c r="AK285" s="369">
        <f t="shared" si="99"/>
        <v>0</v>
      </c>
      <c r="AL285" s="369">
        <f t="shared" si="99"/>
        <v>0</v>
      </c>
      <c r="AM285" s="369">
        <f t="shared" si="99"/>
        <v>0</v>
      </c>
      <c r="AN285" s="369">
        <f t="shared" si="99"/>
        <v>0</v>
      </c>
      <c r="AO285" s="369">
        <f t="shared" si="99"/>
        <v>0</v>
      </c>
      <c r="AP285" s="369">
        <f t="shared" si="99"/>
        <v>0</v>
      </c>
      <c r="AQ285" s="369">
        <f t="shared" si="99"/>
        <v>0</v>
      </c>
      <c r="AR285" s="369">
        <f t="shared" si="99"/>
        <v>0</v>
      </c>
      <c r="AS285" s="369">
        <f t="shared" si="99"/>
        <v>0</v>
      </c>
      <c r="AT285" s="369">
        <f t="shared" si="99"/>
        <v>0</v>
      </c>
      <c r="AU285" s="369">
        <f t="shared" si="99"/>
        <v>0</v>
      </c>
      <c r="AV285" s="369">
        <f t="shared" si="99"/>
        <v>0</v>
      </c>
      <c r="AW285" s="369">
        <f t="shared" si="99"/>
        <v>0</v>
      </c>
      <c r="AX285" s="369">
        <f t="shared" si="99"/>
        <v>0</v>
      </c>
      <c r="AY285" s="369">
        <f t="shared" si="99"/>
        <v>0</v>
      </c>
      <c r="AZ285" s="369">
        <f t="shared" si="99"/>
        <v>0</v>
      </c>
      <c r="BA285" s="369">
        <f t="shared" si="99"/>
        <v>0</v>
      </c>
      <c r="BB285" s="369">
        <f t="shared" si="99"/>
        <v>0</v>
      </c>
      <c r="BC285" s="369">
        <f t="shared" si="99"/>
        <v>0</v>
      </c>
      <c r="BD285" s="369">
        <f t="shared" si="99"/>
        <v>0</v>
      </c>
      <c r="BE285" s="1335">
        <f t="shared" si="99"/>
        <v>0</v>
      </c>
    </row>
    <row r="286" spans="2:57" x14ac:dyDescent="0.25">
      <c r="B286" s="371" t="s">
        <v>103</v>
      </c>
      <c r="C286" s="366"/>
      <c r="D286" s="366"/>
      <c r="E286" s="367"/>
      <c r="F286" s="367" t="s">
        <v>22</v>
      </c>
      <c r="G286" s="1336"/>
      <c r="H286" s="1336">
        <f>(H258+H266+H268+H273+H274+H275+H270+H271+H272)*'II. Inputs, Baseline Energy Mix'!$S$19</f>
        <v>0</v>
      </c>
      <c r="I286" s="1336">
        <f>(I258+I266+I268+I273+I274+I275+I270+I271+I272)*'II. Inputs, Baseline Energy Mix'!$S$19</f>
        <v>0</v>
      </c>
      <c r="J286" s="1336">
        <f>(J258+J266+J268+J273+J274+J275+J270+J271+J272)*'II. Inputs, Baseline Energy Mix'!$S$19</f>
        <v>0</v>
      </c>
      <c r="K286" s="1336">
        <f>(K258+K266+K268+K273+K274+K275+K270+K271+K272)*'II. Inputs, Baseline Energy Mix'!$S$19</f>
        <v>0</v>
      </c>
      <c r="L286" s="1336">
        <f>(L258+L266+L268+L273+L274+L275+L270+L271+L272)*'II. Inputs, Baseline Energy Mix'!$S$19</f>
        <v>0</v>
      </c>
      <c r="M286" s="1336">
        <f>(M258+M266+M268+M273+M274+M275+M270+M271+M272)*'II. Inputs, Baseline Energy Mix'!$S$19</f>
        <v>0</v>
      </c>
      <c r="N286" s="1336">
        <f>(N258+N266+N268+N273+N274+N275+N270+N271+N272)*'II. Inputs, Baseline Energy Mix'!$S$19</f>
        <v>0</v>
      </c>
      <c r="O286" s="1336">
        <f>(O258+O266+O268+O273+O274+O275+O270+O271+O272)*'II. Inputs, Baseline Energy Mix'!$S$19</f>
        <v>0</v>
      </c>
      <c r="P286" s="1336">
        <f>(P258+P266+P268+P273+P274+P275+P270+P271+P272)*'II. Inputs, Baseline Energy Mix'!$S$19</f>
        <v>0</v>
      </c>
      <c r="Q286" s="1336">
        <f>(Q258+Q266+Q268+Q273+Q274+Q275+Q270+Q271+Q272)*'II. Inputs, Baseline Energy Mix'!$S$19</f>
        <v>0</v>
      </c>
      <c r="R286" s="1336">
        <f>(R258+R266+R268+R273+R274+R275+R270+R271+R272)*'II. Inputs, Baseline Energy Mix'!$S$19</f>
        <v>0</v>
      </c>
      <c r="S286" s="1336">
        <f>(S258+S266+S268+S273+S274+S275+S270+S271+S272)*'II. Inputs, Baseline Energy Mix'!$S$19</f>
        <v>0</v>
      </c>
      <c r="T286" s="1336">
        <f>(T258+T266+T268+T273+T274+T275+T270+T271+T272)*'II. Inputs, Baseline Energy Mix'!$S$19</f>
        <v>0</v>
      </c>
      <c r="U286" s="1336">
        <f>(U258+U266+U268+U273+U274+U275+U270+U271+U272)*'II. Inputs, Baseline Energy Mix'!$S$19</f>
        <v>0</v>
      </c>
      <c r="V286" s="1336">
        <f>(V258+V266+V268+V273+V274+V275+V270+V271+V272)*'II. Inputs, Baseline Energy Mix'!$S$19</f>
        <v>0</v>
      </c>
      <c r="W286" s="1336">
        <f>(W258+W266+W268+W273+W274+W275+W270+W271+W272)*'II. Inputs, Baseline Energy Mix'!$S$19</f>
        <v>0</v>
      </c>
      <c r="X286" s="1336">
        <f>(X258+X266+X268+X273+X274+X275+X270+X271+X272)*'II. Inputs, Baseline Energy Mix'!$S$19</f>
        <v>0</v>
      </c>
      <c r="Y286" s="1336">
        <f>(Y258+Y266+Y268+Y273+Y274+Y275+Y270+Y271+Y272)*'II. Inputs, Baseline Energy Mix'!$S$19</f>
        <v>0</v>
      </c>
      <c r="Z286" s="1336">
        <f>(Z258+Z266+Z268+Z273+Z274+Z275+Z270+Z271+Z272)*'II. Inputs, Baseline Energy Mix'!$S$19</f>
        <v>0</v>
      </c>
      <c r="AA286" s="1336">
        <f>(AA258+AA266+AA268+AA273+AA274+AA275+AA270+AA271+AA272)*'II. Inputs, Baseline Energy Mix'!$S$19</f>
        <v>0</v>
      </c>
      <c r="AB286" s="1336">
        <f>(AB258+AB266+AB268+AB273+AB274+AB275+AB270+AB271+AB272)*'II. Inputs, Baseline Energy Mix'!$S$19</f>
        <v>0</v>
      </c>
      <c r="AC286" s="1336">
        <f>(AC258+AC266+AC268+AC273+AC274+AC275+AC270+AC271+AC272)*'II. Inputs, Baseline Energy Mix'!$S$19</f>
        <v>0</v>
      </c>
      <c r="AD286" s="1336">
        <f>(AD258+AD266+AD268+AD273+AD274+AD275+AD270+AD271+AD272)*'II. Inputs, Baseline Energy Mix'!$S$19</f>
        <v>0</v>
      </c>
      <c r="AE286" s="1336">
        <f>(AE258+AE266+AE268+AE273+AE274+AE275+AE270+AE271+AE272)*'II. Inputs, Baseline Energy Mix'!$S$19</f>
        <v>0</v>
      </c>
      <c r="AF286" s="1336">
        <f>(AF258+AF266+AF268+AF273+AF274+AF275+AF270+AF271+AF272)*'II. Inputs, Baseline Energy Mix'!$S$19</f>
        <v>0</v>
      </c>
      <c r="AG286" s="1336">
        <f>(AG258+AG266+AG268+AG273+AG274+AG275+AG270+AG271+AG272)*'II. Inputs, Baseline Energy Mix'!$S$19</f>
        <v>0</v>
      </c>
      <c r="AH286" s="1336">
        <f>(AH258+AH266+AH268+AH273+AH274+AH275+AH270+AH271+AH272)*'II. Inputs, Baseline Energy Mix'!$S$19</f>
        <v>0</v>
      </c>
      <c r="AI286" s="1336">
        <f>(AI258+AI266+AI268+AI273+AI274+AI275+AI270+AI271+AI272)*'II. Inputs, Baseline Energy Mix'!$S$19</f>
        <v>0</v>
      </c>
      <c r="AJ286" s="1336">
        <f>(AJ258+AJ266+AJ268+AJ273+AJ274+AJ275+AJ270+AJ271+AJ272)*'II. Inputs, Baseline Energy Mix'!$S$19</f>
        <v>0</v>
      </c>
      <c r="AK286" s="1336">
        <f>(AK258+AK266+AK268+AK273+AK274+AK275+AK270+AK271+AK272)*'II. Inputs, Baseline Energy Mix'!$S$19</f>
        <v>0</v>
      </c>
      <c r="AL286" s="1336">
        <f>(AL258+AL266+AL268+AL273+AL274+AL275+AL270+AL271+AL272)*'II. Inputs, Baseline Energy Mix'!$S$19</f>
        <v>0</v>
      </c>
      <c r="AM286" s="1336">
        <f>(AM258+AM266+AM268+AM273+AM274+AM275+AM270+AM271+AM272)*'II. Inputs, Baseline Energy Mix'!$S$19</f>
        <v>0</v>
      </c>
      <c r="AN286" s="1336">
        <f>(AN258+AN266+AN268+AN273+AN274+AN275+AN270+AN271+AN272)*'II. Inputs, Baseline Energy Mix'!$S$19</f>
        <v>0</v>
      </c>
      <c r="AO286" s="1336">
        <f>(AO258+AO266+AO268+AO273+AO274+AO275+AO270+AO271+AO272)*'II. Inputs, Baseline Energy Mix'!$S$19</f>
        <v>0</v>
      </c>
      <c r="AP286" s="1336">
        <f>(AP258+AP266+AP268+AP273+AP274+AP275+AP270+AP271+AP272)*'II. Inputs, Baseline Energy Mix'!$S$19</f>
        <v>0</v>
      </c>
      <c r="AQ286" s="1336">
        <f>(AQ258+AQ266+AQ268+AQ273+AQ274+AQ275+AQ270+AQ271+AQ272)*'II. Inputs, Baseline Energy Mix'!$S$19</f>
        <v>0</v>
      </c>
      <c r="AR286" s="1336">
        <f>(AR258+AR266+AR268+AR273+AR274+AR275+AR270+AR271+AR272)*'II. Inputs, Baseline Energy Mix'!$S$19</f>
        <v>0</v>
      </c>
      <c r="AS286" s="1336">
        <f>(AS258+AS266+AS268+AS273+AS274+AS275+AS270+AS271+AS272)*'II. Inputs, Baseline Energy Mix'!$S$19</f>
        <v>0</v>
      </c>
      <c r="AT286" s="1336">
        <f>(AT258+AT266+AT268+AT273+AT274+AT275+AT270+AT271+AT272)*'II. Inputs, Baseline Energy Mix'!$S$19</f>
        <v>0</v>
      </c>
      <c r="AU286" s="1336">
        <f>(AU258+AU266+AU268+AU273+AU274+AU275+AU270+AU271+AU272)*'II. Inputs, Baseline Energy Mix'!$S$19</f>
        <v>0</v>
      </c>
      <c r="AV286" s="1336">
        <f>(AV258+AV266+AV268+AV273+AV274+AV275+AV270+AV271+AV272)*'II. Inputs, Baseline Energy Mix'!$S$19</f>
        <v>0</v>
      </c>
      <c r="AW286" s="1336">
        <f>(AW258+AW266+AW268+AW273+AW274+AW275+AW270+AW271+AW272)*'II. Inputs, Baseline Energy Mix'!$S$19</f>
        <v>0</v>
      </c>
      <c r="AX286" s="1336">
        <f>(AX258+AX266+AX268+AX273+AX274+AX275+AX270+AX271+AX272)*'II. Inputs, Baseline Energy Mix'!$S$19</f>
        <v>0</v>
      </c>
      <c r="AY286" s="1336">
        <f>(AY258+AY266+AY268+AY273+AY274+AY275+AY270+AY271+AY272)*'II. Inputs, Baseline Energy Mix'!$S$19</f>
        <v>0</v>
      </c>
      <c r="AZ286" s="1336">
        <f>(AZ258+AZ266+AZ268+AZ273+AZ274+AZ275+AZ270+AZ271+AZ272)*'II. Inputs, Baseline Energy Mix'!$S$19</f>
        <v>0</v>
      </c>
      <c r="BA286" s="1336">
        <f>(BA258+BA266+BA268+BA273+BA274+BA275+BA270+BA271+BA272)*'II. Inputs, Baseline Energy Mix'!$S$19</f>
        <v>0</v>
      </c>
      <c r="BB286" s="1336">
        <f>(BB258+BB266+BB268+BB273+BB274+BB275+BB270+BB271+BB272)*'II. Inputs, Baseline Energy Mix'!$S$19</f>
        <v>0</v>
      </c>
      <c r="BC286" s="1336">
        <f>(BC258+BC266+BC268+BC273+BC274+BC275+BC270+BC271+BC272)*'II. Inputs, Baseline Energy Mix'!$S$19</f>
        <v>0</v>
      </c>
      <c r="BD286" s="1336">
        <f>(BD258+BD266+BD268+BD273+BD274+BD275+BD270+BD271+BD272)*'II. Inputs, Baseline Energy Mix'!$S$19</f>
        <v>0</v>
      </c>
      <c r="BE286" s="1337">
        <f>(BE258+BE266+BE268+BE273+BE274+BE275+BE270+BE271+BE272)*'II. Inputs, Baseline Energy Mix'!$S$19</f>
        <v>0</v>
      </c>
    </row>
    <row r="287" spans="2:57" x14ac:dyDescent="0.25">
      <c r="B287" s="358" t="s">
        <v>104</v>
      </c>
      <c r="C287" s="359"/>
      <c r="D287" s="359"/>
      <c r="E287" s="362"/>
      <c r="F287" s="362" t="s">
        <v>22</v>
      </c>
      <c r="G287" s="369">
        <f>-IF('II. Inputs, Baseline Energy Mix'!$S$15&gt;0, 'II. Inputs, Baseline Energy Mix'!$S$16*'II. Inputs, Baseline Energy Mix'!$S$17*'II. Inputs, Baseline Energy Mix'!$S$29,0)</f>
        <v>0</v>
      </c>
      <c r="H287" s="369">
        <f t="shared" ref="H287:AM287" si="100">SUM(H280:H286)</f>
        <v>0</v>
      </c>
      <c r="I287" s="369">
        <f t="shared" si="100"/>
        <v>0</v>
      </c>
      <c r="J287" s="369">
        <f t="shared" si="100"/>
        <v>0</v>
      </c>
      <c r="K287" s="369">
        <f t="shared" si="100"/>
        <v>0</v>
      </c>
      <c r="L287" s="369">
        <f t="shared" si="100"/>
        <v>0</v>
      </c>
      <c r="M287" s="369">
        <f t="shared" si="100"/>
        <v>0</v>
      </c>
      <c r="N287" s="369">
        <f t="shared" si="100"/>
        <v>0</v>
      </c>
      <c r="O287" s="369">
        <f t="shared" si="100"/>
        <v>0</v>
      </c>
      <c r="P287" s="369">
        <f t="shared" si="100"/>
        <v>0</v>
      </c>
      <c r="Q287" s="369">
        <f t="shared" si="100"/>
        <v>0</v>
      </c>
      <c r="R287" s="369">
        <f t="shared" si="100"/>
        <v>0</v>
      </c>
      <c r="S287" s="369">
        <f t="shared" si="100"/>
        <v>0</v>
      </c>
      <c r="T287" s="369">
        <f t="shared" si="100"/>
        <v>0</v>
      </c>
      <c r="U287" s="369">
        <f t="shared" si="100"/>
        <v>0</v>
      </c>
      <c r="V287" s="369">
        <f t="shared" si="100"/>
        <v>0</v>
      </c>
      <c r="W287" s="369">
        <f t="shared" si="100"/>
        <v>0</v>
      </c>
      <c r="X287" s="369">
        <f t="shared" si="100"/>
        <v>0</v>
      </c>
      <c r="Y287" s="369">
        <f t="shared" si="100"/>
        <v>0</v>
      </c>
      <c r="Z287" s="369">
        <f t="shared" si="100"/>
        <v>0</v>
      </c>
      <c r="AA287" s="369">
        <f t="shared" si="100"/>
        <v>0</v>
      </c>
      <c r="AB287" s="369">
        <f t="shared" si="100"/>
        <v>0</v>
      </c>
      <c r="AC287" s="369">
        <f t="shared" si="100"/>
        <v>0</v>
      </c>
      <c r="AD287" s="369">
        <f t="shared" si="100"/>
        <v>0</v>
      </c>
      <c r="AE287" s="369">
        <f t="shared" si="100"/>
        <v>0</v>
      </c>
      <c r="AF287" s="369">
        <f t="shared" si="100"/>
        <v>0</v>
      </c>
      <c r="AG287" s="369">
        <f t="shared" si="100"/>
        <v>0</v>
      </c>
      <c r="AH287" s="369">
        <f t="shared" si="100"/>
        <v>0</v>
      </c>
      <c r="AI287" s="369">
        <f t="shared" si="100"/>
        <v>0</v>
      </c>
      <c r="AJ287" s="369">
        <f t="shared" si="100"/>
        <v>0</v>
      </c>
      <c r="AK287" s="369">
        <f t="shared" si="100"/>
        <v>0</v>
      </c>
      <c r="AL287" s="369">
        <f t="shared" si="100"/>
        <v>0</v>
      </c>
      <c r="AM287" s="369">
        <f t="shared" si="100"/>
        <v>0</v>
      </c>
      <c r="AN287" s="369">
        <f t="shared" ref="AN287:BE287" si="101">SUM(AN280:AN286)</f>
        <v>0</v>
      </c>
      <c r="AO287" s="369">
        <f t="shared" si="101"/>
        <v>0</v>
      </c>
      <c r="AP287" s="369">
        <f t="shared" si="101"/>
        <v>0</v>
      </c>
      <c r="AQ287" s="369">
        <f t="shared" si="101"/>
        <v>0</v>
      </c>
      <c r="AR287" s="369">
        <f t="shared" si="101"/>
        <v>0</v>
      </c>
      <c r="AS287" s="369">
        <f t="shared" si="101"/>
        <v>0</v>
      </c>
      <c r="AT287" s="369">
        <f t="shared" si="101"/>
        <v>0</v>
      </c>
      <c r="AU287" s="369">
        <f t="shared" si="101"/>
        <v>0</v>
      </c>
      <c r="AV287" s="369">
        <f t="shared" si="101"/>
        <v>0</v>
      </c>
      <c r="AW287" s="369">
        <f t="shared" si="101"/>
        <v>0</v>
      </c>
      <c r="AX287" s="369">
        <f t="shared" si="101"/>
        <v>0</v>
      </c>
      <c r="AY287" s="369">
        <f t="shared" si="101"/>
        <v>0</v>
      </c>
      <c r="AZ287" s="369">
        <f t="shared" si="101"/>
        <v>0</v>
      </c>
      <c r="BA287" s="369">
        <f t="shared" si="101"/>
        <v>0</v>
      </c>
      <c r="BB287" s="369">
        <f t="shared" si="101"/>
        <v>0</v>
      </c>
      <c r="BC287" s="369">
        <f t="shared" si="101"/>
        <v>0</v>
      </c>
      <c r="BD287" s="369">
        <f t="shared" si="101"/>
        <v>0</v>
      </c>
      <c r="BE287" s="1335">
        <f t="shared" si="101"/>
        <v>0</v>
      </c>
    </row>
    <row r="288" spans="2:57" x14ac:dyDescent="0.25">
      <c r="B288" s="358"/>
      <c r="C288" s="359"/>
      <c r="D288" s="359"/>
      <c r="E288" s="362"/>
      <c r="F288" s="359"/>
      <c r="G288" s="359"/>
      <c r="H288" s="359"/>
      <c r="I288" s="36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359"/>
      <c r="AQ288" s="359"/>
      <c r="AR288" s="359"/>
      <c r="AS288" s="359"/>
      <c r="AT288" s="359"/>
      <c r="AU288" s="359"/>
      <c r="AV288" s="359"/>
      <c r="AW288" s="359"/>
      <c r="AX288" s="359"/>
      <c r="AY288" s="359"/>
      <c r="AZ288" s="359"/>
      <c r="BA288" s="359"/>
      <c r="BB288" s="359"/>
      <c r="BC288" s="359"/>
      <c r="BD288" s="359"/>
      <c r="BE288" s="360"/>
    </row>
    <row r="289" spans="1:57" x14ac:dyDescent="0.25">
      <c r="B289" s="358" t="s">
        <v>105</v>
      </c>
      <c r="C289" s="359"/>
      <c r="D289" s="359"/>
      <c r="E289" s="362"/>
      <c r="F289" s="359"/>
      <c r="G289" s="1104">
        <f>'II. Inputs, Baseline Energy Mix'!$S$37</f>
        <v>0.153</v>
      </c>
      <c r="H289" s="359"/>
      <c r="I289" s="369"/>
      <c r="J289" s="359"/>
      <c r="K289" s="359"/>
      <c r="L289" s="359"/>
      <c r="M289" s="359"/>
      <c r="N289" s="359"/>
      <c r="O289" s="359"/>
      <c r="P289" s="359"/>
      <c r="Q289" s="359"/>
      <c r="R289" s="359"/>
      <c r="S289" s="359"/>
      <c r="T289" s="359"/>
      <c r="U289" s="359"/>
      <c r="V289" s="359"/>
      <c r="W289" s="359"/>
      <c r="X289" s="359"/>
      <c r="Y289" s="359"/>
      <c r="Z289" s="359"/>
      <c r="AA289" s="359"/>
      <c r="AB289" s="359"/>
      <c r="AC289" s="359"/>
      <c r="AD289" s="359"/>
      <c r="AE289" s="359"/>
      <c r="AF289" s="359"/>
      <c r="AG289" s="359"/>
      <c r="AH289" s="359"/>
      <c r="AI289" s="359"/>
      <c r="AJ289" s="359"/>
      <c r="AK289" s="359"/>
      <c r="AL289" s="359"/>
      <c r="AM289" s="359"/>
      <c r="AN289" s="359"/>
      <c r="AO289" s="359"/>
      <c r="AP289" s="359"/>
      <c r="AQ289" s="359"/>
      <c r="AR289" s="359"/>
      <c r="AS289" s="359"/>
      <c r="AT289" s="359"/>
      <c r="AU289" s="359"/>
      <c r="AV289" s="359"/>
      <c r="AW289" s="359"/>
      <c r="AX289" s="359"/>
      <c r="AY289" s="359"/>
      <c r="AZ289" s="359"/>
      <c r="BA289" s="359"/>
      <c r="BB289" s="359"/>
      <c r="BC289" s="359"/>
      <c r="BD289" s="359"/>
      <c r="BE289" s="360"/>
    </row>
    <row r="290" spans="1:57" x14ac:dyDescent="0.25">
      <c r="B290" s="358" t="s">
        <v>106</v>
      </c>
      <c r="C290" s="359"/>
      <c r="D290" s="359"/>
      <c r="E290" s="362"/>
      <c r="F290" s="359"/>
      <c r="G290" s="1338">
        <f>IF(G289="NA", "NA", NPV(G289,H287:BE287)+G287)</f>
        <v>0</v>
      </c>
      <c r="H290" s="359"/>
      <c r="I290" s="369"/>
      <c r="J290" s="359"/>
      <c r="K290" s="359"/>
      <c r="L290" s="359"/>
      <c r="M290" s="359"/>
      <c r="N290" s="359"/>
      <c r="O290" s="359"/>
      <c r="P290" s="359"/>
      <c r="Q290" s="359"/>
      <c r="R290" s="359"/>
      <c r="S290" s="359"/>
      <c r="T290" s="359"/>
      <c r="U290" s="359"/>
      <c r="V290" s="359"/>
      <c r="W290" s="359"/>
      <c r="X290" s="359"/>
      <c r="Y290" s="359"/>
      <c r="Z290" s="359"/>
      <c r="AA290" s="359"/>
      <c r="AB290" s="359"/>
      <c r="AC290" s="359"/>
      <c r="AD290" s="359"/>
      <c r="AE290" s="359"/>
      <c r="AF290" s="359"/>
      <c r="AG290" s="359"/>
      <c r="AH290" s="359"/>
      <c r="AI290" s="359"/>
      <c r="AJ290" s="359"/>
      <c r="AK290" s="359"/>
      <c r="AL290" s="359"/>
      <c r="AM290" s="359"/>
      <c r="AN290" s="359"/>
      <c r="AO290" s="359"/>
      <c r="AP290" s="359"/>
      <c r="AQ290" s="359"/>
      <c r="AR290" s="359"/>
      <c r="AS290" s="359"/>
      <c r="AT290" s="359"/>
      <c r="AU290" s="359"/>
      <c r="AV290" s="359"/>
      <c r="AW290" s="359"/>
      <c r="AX290" s="359"/>
      <c r="AY290" s="359"/>
      <c r="AZ290" s="359"/>
      <c r="BA290" s="359"/>
      <c r="BB290" s="359"/>
      <c r="BC290" s="359"/>
      <c r="BD290" s="359"/>
      <c r="BE290" s="360"/>
    </row>
    <row r="291" spans="1:57" x14ac:dyDescent="0.25">
      <c r="B291" s="358" t="s">
        <v>107</v>
      </c>
      <c r="C291" s="359"/>
      <c r="D291" s="359"/>
      <c r="E291" s="362"/>
      <c r="F291" s="359"/>
      <c r="G291" s="1338">
        <f>IF(G289="NA", "NA", -NPV(G289,H254:BE254))</f>
        <v>0</v>
      </c>
      <c r="H291" s="359"/>
      <c r="I291" s="36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359"/>
      <c r="AQ291" s="359"/>
      <c r="AR291" s="359"/>
      <c r="AS291" s="359"/>
      <c r="AT291" s="359"/>
      <c r="AU291" s="359"/>
      <c r="AV291" s="359"/>
      <c r="AW291" s="359"/>
      <c r="AX291" s="359"/>
      <c r="AY291" s="359"/>
      <c r="AZ291" s="359"/>
      <c r="BA291" s="359"/>
      <c r="BB291" s="359"/>
      <c r="BC291" s="359"/>
      <c r="BD291" s="359"/>
      <c r="BE291" s="360"/>
    </row>
    <row r="292" spans="1:57" ht="13.8" thickBot="1" x14ac:dyDescent="0.3">
      <c r="B292" s="358" t="s">
        <v>108</v>
      </c>
      <c r="C292" s="359"/>
      <c r="D292" s="359"/>
      <c r="E292" s="362"/>
      <c r="F292" s="362" t="s">
        <v>625</v>
      </c>
      <c r="G292" s="1339" t="str">
        <f>IF(OR(G291=0,G289="NA"), "NA", G290/G291)</f>
        <v>NA</v>
      </c>
      <c r="H292" s="359"/>
      <c r="I292" s="36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359"/>
      <c r="AQ292" s="359"/>
      <c r="AR292" s="359"/>
      <c r="AS292" s="359"/>
      <c r="AT292" s="359"/>
      <c r="AU292" s="359"/>
      <c r="AV292" s="359"/>
      <c r="AW292" s="359"/>
      <c r="AX292" s="359"/>
      <c r="AY292" s="359"/>
      <c r="AZ292" s="359"/>
      <c r="BA292" s="359"/>
      <c r="BB292" s="359"/>
      <c r="BC292" s="359"/>
      <c r="BD292" s="359"/>
      <c r="BE292" s="360"/>
    </row>
    <row r="293" spans="1:57" ht="13.8" thickBot="1" x14ac:dyDescent="0.3">
      <c r="B293" s="372" t="s">
        <v>109</v>
      </c>
      <c r="C293" s="373"/>
      <c r="D293" s="373"/>
      <c r="E293" s="374"/>
      <c r="F293" s="374" t="s">
        <v>626</v>
      </c>
      <c r="G293" s="1340" t="str">
        <f>IF(G292="NA", "NA", $G$292/(1-'II. Inputs, Baseline Energy Mix'!$S$19))</f>
        <v>NA</v>
      </c>
      <c r="H293" s="359"/>
      <c r="I293" s="36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359"/>
      <c r="AQ293" s="359"/>
      <c r="AR293" s="359"/>
      <c r="AS293" s="359"/>
      <c r="AT293" s="359"/>
      <c r="AU293" s="359"/>
      <c r="AV293" s="359"/>
      <c r="AW293" s="359"/>
      <c r="AX293" s="359"/>
      <c r="AY293" s="359"/>
      <c r="AZ293" s="359"/>
      <c r="BA293" s="359"/>
      <c r="BB293" s="359"/>
      <c r="BC293" s="359"/>
      <c r="BD293" s="359"/>
      <c r="BE293" s="360"/>
    </row>
    <row r="294" spans="1:57" ht="13.8" thickBot="1" x14ac:dyDescent="0.3">
      <c r="B294" s="375"/>
      <c r="C294" s="376"/>
      <c r="D294" s="376"/>
      <c r="E294" s="377"/>
      <c r="F294" s="377"/>
      <c r="G294" s="378"/>
      <c r="H294" s="379"/>
      <c r="I294" s="380"/>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9"/>
      <c r="AG294" s="379"/>
      <c r="AH294" s="379"/>
      <c r="AI294" s="379"/>
      <c r="AJ294" s="379"/>
      <c r="AK294" s="379"/>
      <c r="AL294" s="379"/>
      <c r="AM294" s="379"/>
      <c r="AN294" s="379"/>
      <c r="AO294" s="379"/>
      <c r="AP294" s="379"/>
      <c r="AQ294" s="379"/>
      <c r="AR294" s="379"/>
      <c r="AS294" s="379"/>
      <c r="AT294" s="379"/>
      <c r="AU294" s="379"/>
      <c r="AV294" s="379"/>
      <c r="AW294" s="379"/>
      <c r="AX294" s="379"/>
      <c r="AY294" s="379"/>
      <c r="AZ294" s="379"/>
      <c r="BA294" s="379"/>
      <c r="BB294" s="379"/>
      <c r="BC294" s="379"/>
      <c r="BD294" s="379"/>
      <c r="BE294" s="381"/>
    </row>
    <row r="295" spans="1:57" x14ac:dyDescent="0.25">
      <c r="B295" s="43"/>
      <c r="C295" s="43"/>
      <c r="D295" s="43"/>
      <c r="E295" s="207"/>
      <c r="F295" s="207"/>
      <c r="G295" s="327"/>
      <c r="I295" s="249"/>
    </row>
    <row r="296" spans="1:57" x14ac:dyDescent="0.25">
      <c r="B296" s="43"/>
      <c r="C296" s="43"/>
      <c r="D296" s="43"/>
      <c r="E296" s="207"/>
      <c r="F296" s="207"/>
      <c r="G296" s="327"/>
      <c r="I296" s="249"/>
    </row>
    <row r="297" spans="1:57" s="8" customFormat="1" ht="12.75" customHeight="1" x14ac:dyDescent="0.25">
      <c r="A297" s="44" t="s">
        <v>260</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x14ac:dyDescent="0.25">
      <c r="B298" s="36"/>
    </row>
    <row r="299" spans="1:57" s="36" customFormat="1" x14ac:dyDescent="0.25">
      <c r="B299" s="213" t="s">
        <v>58</v>
      </c>
      <c r="C299" s="214"/>
      <c r="D299" s="214"/>
      <c r="E299" s="215"/>
      <c r="F299" s="214"/>
      <c r="G299" s="215">
        <v>0</v>
      </c>
      <c r="H299" s="215">
        <v>1</v>
      </c>
      <c r="I299" s="215">
        <v>2</v>
      </c>
      <c r="J299" s="215">
        <v>3</v>
      </c>
      <c r="K299" s="215">
        <v>4</v>
      </c>
      <c r="L299" s="215">
        <v>5</v>
      </c>
      <c r="M299" s="215">
        <v>6</v>
      </c>
      <c r="N299" s="215">
        <v>7</v>
      </c>
      <c r="O299" s="215">
        <v>8</v>
      </c>
      <c r="P299" s="215">
        <v>9</v>
      </c>
      <c r="Q299" s="215">
        <v>10</v>
      </c>
      <c r="R299" s="215">
        <v>11</v>
      </c>
      <c r="S299" s="215">
        <v>12</v>
      </c>
      <c r="T299" s="215">
        <v>13</v>
      </c>
      <c r="U299" s="215">
        <v>14</v>
      </c>
      <c r="V299" s="215">
        <v>15</v>
      </c>
      <c r="W299" s="215">
        <v>16</v>
      </c>
      <c r="X299" s="215">
        <v>17</v>
      </c>
      <c r="Y299" s="215">
        <v>18</v>
      </c>
      <c r="Z299" s="215">
        <v>19</v>
      </c>
      <c r="AA299" s="215">
        <v>20</v>
      </c>
      <c r="AB299" s="215">
        <v>21</v>
      </c>
      <c r="AC299" s="215">
        <v>22</v>
      </c>
      <c r="AD299" s="215">
        <v>23</v>
      </c>
      <c r="AE299" s="215">
        <v>24</v>
      </c>
      <c r="AF299" s="215">
        <v>25</v>
      </c>
      <c r="AG299" s="215">
        <v>26</v>
      </c>
      <c r="AH299" s="215">
        <v>27</v>
      </c>
      <c r="AI299" s="215">
        <v>28</v>
      </c>
      <c r="AJ299" s="215">
        <v>29</v>
      </c>
      <c r="AK299" s="215">
        <v>30</v>
      </c>
      <c r="AL299" s="215">
        <v>31</v>
      </c>
      <c r="AM299" s="215">
        <v>32</v>
      </c>
      <c r="AN299" s="215">
        <v>33</v>
      </c>
      <c r="AO299" s="215">
        <v>34</v>
      </c>
      <c r="AP299" s="215">
        <v>35</v>
      </c>
      <c r="AQ299" s="215">
        <v>36</v>
      </c>
      <c r="AR299" s="215">
        <v>37</v>
      </c>
      <c r="AS299" s="215">
        <v>38</v>
      </c>
      <c r="AT299" s="215">
        <v>39</v>
      </c>
      <c r="AU299" s="215">
        <v>40</v>
      </c>
      <c r="AV299" s="215">
        <v>41</v>
      </c>
      <c r="AW299" s="215">
        <v>42</v>
      </c>
      <c r="AX299" s="215">
        <v>43</v>
      </c>
      <c r="AY299" s="215">
        <v>44</v>
      </c>
      <c r="AZ299" s="215">
        <v>45</v>
      </c>
      <c r="BA299" s="215">
        <v>46</v>
      </c>
      <c r="BB299" s="215">
        <v>47</v>
      </c>
      <c r="BC299" s="215">
        <v>48</v>
      </c>
      <c r="BD299" s="215">
        <v>49</v>
      </c>
      <c r="BE299" s="215">
        <v>50</v>
      </c>
    </row>
    <row r="300" spans="1:57" ht="13.8" thickBot="1" x14ac:dyDescent="0.3">
      <c r="B300" s="33"/>
      <c r="C300" s="34"/>
      <c r="D300" s="34"/>
      <c r="E300" s="208"/>
      <c r="G300" s="208"/>
      <c r="H300" s="208"/>
      <c r="I300" s="208"/>
      <c r="J300" s="208"/>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208"/>
      <c r="BD300" s="208"/>
      <c r="BE300" s="208"/>
    </row>
    <row r="301" spans="1:57" x14ac:dyDescent="0.25">
      <c r="B301" s="216" t="str">
        <f>$B$15</f>
        <v>NATURAL GAS</v>
      </c>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c r="AA301" s="217"/>
      <c r="AB301" s="217"/>
      <c r="AC301" s="217"/>
      <c r="AD301" s="217"/>
      <c r="AE301" s="217"/>
      <c r="AF301" s="217"/>
      <c r="AG301" s="217"/>
      <c r="AH301" s="217"/>
      <c r="AI301" s="217"/>
      <c r="AJ301" s="217"/>
      <c r="AK301" s="217"/>
      <c r="AL301" s="217"/>
      <c r="AM301" s="217"/>
      <c r="AN301" s="217"/>
      <c r="AO301" s="217"/>
      <c r="AP301" s="217"/>
      <c r="AQ301" s="217"/>
      <c r="AR301" s="217"/>
      <c r="AS301" s="217"/>
      <c r="AT301" s="217"/>
      <c r="AU301" s="217"/>
      <c r="AV301" s="217"/>
      <c r="AW301" s="217"/>
      <c r="AX301" s="217"/>
      <c r="AY301" s="217"/>
      <c r="AZ301" s="217"/>
      <c r="BA301" s="217"/>
      <c r="BB301" s="217"/>
      <c r="BC301" s="217"/>
      <c r="BD301" s="217"/>
      <c r="BE301" s="218"/>
    </row>
    <row r="302" spans="1:57" x14ac:dyDescent="0.25">
      <c r="B302" s="222"/>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20"/>
      <c r="AR302" s="220"/>
      <c r="AS302" s="220"/>
      <c r="AT302" s="220"/>
      <c r="AU302" s="220"/>
      <c r="AV302" s="220"/>
      <c r="AW302" s="220"/>
      <c r="AX302" s="220"/>
      <c r="AY302" s="220"/>
      <c r="AZ302" s="220"/>
      <c r="BA302" s="220"/>
      <c r="BB302" s="220"/>
      <c r="BC302" s="220"/>
      <c r="BD302" s="220"/>
      <c r="BE302" s="221"/>
    </row>
    <row r="303" spans="1:57" x14ac:dyDescent="0.25">
      <c r="B303" s="219" t="s">
        <v>257</v>
      </c>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20"/>
      <c r="AR303" s="220"/>
      <c r="AS303" s="220"/>
      <c r="AT303" s="220"/>
      <c r="AU303" s="220"/>
      <c r="AV303" s="220"/>
      <c r="AW303" s="220"/>
      <c r="AX303" s="220"/>
      <c r="AY303" s="220"/>
      <c r="AZ303" s="220"/>
      <c r="BA303" s="220"/>
      <c r="BB303" s="220"/>
      <c r="BC303" s="220"/>
      <c r="BD303" s="220"/>
      <c r="BE303" s="221"/>
    </row>
    <row r="304" spans="1:57" x14ac:dyDescent="0.25">
      <c r="B304" s="222"/>
      <c r="C304" s="382" t="s">
        <v>68</v>
      </c>
      <c r="D304" s="224" t="s">
        <v>22</v>
      </c>
      <c r="E304" s="220"/>
      <c r="F304" s="220"/>
      <c r="G304" s="236">
        <f>IF('II. Inputs, Baseline Energy Mix'!$N$15&gt;0,('II. Inputs, Baseline Energy Mix'!$N$16*'II. Inputs, Baseline Energy Mix'!$N$17*'II. Inputs, Baseline Energy Mix'!$N$30*'II. Inputs, Baseline Energy Mix'!$N$32),0)</f>
        <v>0</v>
      </c>
      <c r="H304" s="220"/>
      <c r="I304" s="220"/>
      <c r="J304" s="220"/>
      <c r="K304" s="220"/>
      <c r="L304" s="220"/>
      <c r="M304" s="220"/>
      <c r="N304" s="220"/>
      <c r="O304" s="220"/>
      <c r="P304" s="220"/>
      <c r="Q304" s="220"/>
      <c r="R304" s="220"/>
      <c r="S304" s="220"/>
      <c r="T304" s="220"/>
      <c r="U304" s="220"/>
      <c r="V304" s="220"/>
      <c r="W304" s="220"/>
      <c r="X304" s="220"/>
      <c r="Y304" s="220"/>
      <c r="Z304" s="220"/>
      <c r="AA304" s="220"/>
      <c r="AB304" s="220"/>
      <c r="AC304" s="220"/>
      <c r="AD304" s="220"/>
      <c r="AE304" s="220"/>
      <c r="AF304" s="220"/>
      <c r="AG304" s="220"/>
      <c r="AH304" s="220"/>
      <c r="AI304" s="220"/>
      <c r="AJ304" s="220"/>
      <c r="AK304" s="220"/>
      <c r="AL304" s="220"/>
      <c r="AM304" s="220"/>
      <c r="AN304" s="220"/>
      <c r="AO304" s="220"/>
      <c r="AP304" s="220"/>
      <c r="AQ304" s="220"/>
      <c r="AR304" s="220"/>
      <c r="AS304" s="220"/>
      <c r="AT304" s="220"/>
      <c r="AU304" s="220"/>
      <c r="AV304" s="220"/>
      <c r="AW304" s="220"/>
      <c r="AX304" s="220"/>
      <c r="AY304" s="220"/>
      <c r="AZ304" s="220"/>
      <c r="BA304" s="220"/>
      <c r="BB304" s="220"/>
      <c r="BC304" s="220"/>
      <c r="BD304" s="220"/>
      <c r="BE304" s="221"/>
    </row>
    <row r="305" spans="2:57" x14ac:dyDescent="0.25">
      <c r="B305" s="222"/>
      <c r="C305" s="382" t="s">
        <v>69</v>
      </c>
      <c r="D305" s="224" t="s">
        <v>20</v>
      </c>
      <c r="E305" s="220"/>
      <c r="F305" s="220"/>
      <c r="G305" s="223">
        <f>SUM('II. Inputs, Baseline Energy Mix'!$N$69)</f>
        <v>0</v>
      </c>
      <c r="H305" s="220"/>
      <c r="I305" s="220"/>
      <c r="J305" s="220"/>
      <c r="K305" s="220"/>
      <c r="L305" s="220"/>
      <c r="M305" s="220"/>
      <c r="N305" s="220"/>
      <c r="O305" s="220"/>
      <c r="P305" s="220"/>
      <c r="Q305" s="220"/>
      <c r="R305" s="220"/>
      <c r="S305" s="220"/>
      <c r="T305" s="220"/>
      <c r="U305" s="220"/>
      <c r="V305" s="220"/>
      <c r="W305" s="220"/>
      <c r="X305" s="220"/>
      <c r="Y305" s="220"/>
      <c r="Z305" s="220"/>
      <c r="AA305" s="220"/>
      <c r="AB305" s="220"/>
      <c r="AC305" s="220"/>
      <c r="AD305" s="220"/>
      <c r="AE305" s="220"/>
      <c r="AF305" s="220"/>
      <c r="AG305" s="220"/>
      <c r="AH305" s="220"/>
      <c r="AI305" s="220"/>
      <c r="AJ305" s="220"/>
      <c r="AK305" s="220"/>
      <c r="AL305" s="220"/>
      <c r="AM305" s="220"/>
      <c r="AN305" s="220"/>
      <c r="AO305" s="220"/>
      <c r="AP305" s="220"/>
      <c r="AQ305" s="220"/>
      <c r="AR305" s="220"/>
      <c r="AS305" s="220"/>
      <c r="AT305" s="220"/>
      <c r="AU305" s="220"/>
      <c r="AV305" s="220"/>
      <c r="AW305" s="220"/>
      <c r="AX305" s="220"/>
      <c r="AY305" s="220"/>
      <c r="AZ305" s="220"/>
      <c r="BA305" s="220"/>
      <c r="BB305" s="220"/>
      <c r="BC305" s="220"/>
      <c r="BD305" s="220"/>
      <c r="BE305" s="221"/>
    </row>
    <row r="306" spans="2:57" x14ac:dyDescent="0.25">
      <c r="B306" s="222"/>
      <c r="C306" s="382" t="s">
        <v>70</v>
      </c>
      <c r="D306" s="224" t="s">
        <v>16</v>
      </c>
      <c r="E306" s="220"/>
      <c r="F306" s="220"/>
      <c r="G306" s="1105">
        <f>SUM('II. Inputs, Baseline Energy Mix'!$N$68)</f>
        <v>0</v>
      </c>
      <c r="H306" s="220"/>
      <c r="I306" s="220"/>
      <c r="J306" s="220"/>
      <c r="K306" s="220"/>
      <c r="L306" s="220"/>
      <c r="M306" s="220"/>
      <c r="N306" s="220"/>
      <c r="O306" s="220"/>
      <c r="P306" s="220"/>
      <c r="Q306" s="220"/>
      <c r="R306" s="220"/>
      <c r="S306" s="220"/>
      <c r="T306" s="220"/>
      <c r="U306" s="220"/>
      <c r="V306" s="220"/>
      <c r="W306" s="220"/>
      <c r="X306" s="220"/>
      <c r="Y306" s="220"/>
      <c r="Z306" s="220"/>
      <c r="AA306" s="220"/>
      <c r="AB306" s="220"/>
      <c r="AC306" s="220"/>
      <c r="AD306" s="220"/>
      <c r="AE306" s="220"/>
      <c r="AF306" s="220"/>
      <c r="AG306" s="220"/>
      <c r="AH306" s="220"/>
      <c r="AI306" s="220"/>
      <c r="AJ306" s="220"/>
      <c r="AK306" s="220"/>
      <c r="AL306" s="220"/>
      <c r="AM306" s="220"/>
      <c r="AN306" s="220"/>
      <c r="AO306" s="220"/>
      <c r="AP306" s="220"/>
      <c r="AQ306" s="220"/>
      <c r="AR306" s="220"/>
      <c r="AS306" s="220"/>
      <c r="AT306" s="220"/>
      <c r="AU306" s="220"/>
      <c r="AV306" s="220"/>
      <c r="AW306" s="220"/>
      <c r="AX306" s="220"/>
      <c r="AY306" s="220"/>
      <c r="AZ306" s="220"/>
      <c r="BA306" s="220"/>
      <c r="BB306" s="220"/>
      <c r="BC306" s="220"/>
      <c r="BD306" s="220"/>
      <c r="BE306" s="221"/>
    </row>
    <row r="307" spans="2:57" x14ac:dyDescent="0.25">
      <c r="B307" s="222"/>
      <c r="C307" s="220"/>
      <c r="D307" s="220"/>
      <c r="E307" s="220"/>
      <c r="F307" s="220"/>
      <c r="G307" s="220"/>
      <c r="H307" s="220"/>
      <c r="I307" s="220"/>
      <c r="J307" s="220"/>
      <c r="K307" s="220"/>
      <c r="L307" s="220"/>
      <c r="M307" s="220"/>
      <c r="N307" s="220"/>
      <c r="O307" s="220"/>
      <c r="P307" s="220"/>
      <c r="Q307" s="220"/>
      <c r="R307" s="220"/>
      <c r="S307" s="220"/>
      <c r="T307" s="220"/>
      <c r="U307" s="220"/>
      <c r="V307" s="220"/>
      <c r="W307" s="220"/>
      <c r="X307" s="220"/>
      <c r="Y307" s="220"/>
      <c r="Z307" s="220"/>
      <c r="AA307" s="220"/>
      <c r="AB307" s="220"/>
      <c r="AC307" s="220"/>
      <c r="AD307" s="220"/>
      <c r="AE307" s="220"/>
      <c r="AF307" s="220"/>
      <c r="AG307" s="220"/>
      <c r="AH307" s="220"/>
      <c r="AI307" s="220"/>
      <c r="AJ307" s="220"/>
      <c r="AK307" s="220"/>
      <c r="AL307" s="220"/>
      <c r="AM307" s="220"/>
      <c r="AN307" s="220"/>
      <c r="AO307" s="220"/>
      <c r="AP307" s="220"/>
      <c r="AQ307" s="220"/>
      <c r="AR307" s="220"/>
      <c r="AS307" s="220"/>
      <c r="AT307" s="220"/>
      <c r="AU307" s="220"/>
      <c r="AV307" s="220"/>
      <c r="AW307" s="220"/>
      <c r="AX307" s="220"/>
      <c r="AY307" s="220"/>
      <c r="AZ307" s="220"/>
      <c r="BA307" s="220"/>
      <c r="BB307" s="220"/>
      <c r="BC307" s="220"/>
      <c r="BD307" s="220"/>
      <c r="BE307" s="221"/>
    </row>
    <row r="308" spans="2:57" x14ac:dyDescent="0.25">
      <c r="B308" s="222"/>
      <c r="C308" s="384" t="s">
        <v>67</v>
      </c>
      <c r="D308" s="220"/>
      <c r="E308" s="220"/>
      <c r="F308" s="220"/>
      <c r="G308" s="220"/>
      <c r="H308" s="220"/>
      <c r="I308" s="220"/>
      <c r="J308" s="220"/>
      <c r="K308" s="220"/>
      <c r="L308" s="220"/>
      <c r="M308" s="220"/>
      <c r="N308" s="220"/>
      <c r="O308" s="220"/>
      <c r="P308" s="220"/>
      <c r="Q308" s="220"/>
      <c r="R308" s="220"/>
      <c r="S308" s="220"/>
      <c r="T308" s="220"/>
      <c r="U308" s="220"/>
      <c r="V308" s="220"/>
      <c r="W308" s="220"/>
      <c r="X308" s="220"/>
      <c r="Y308" s="220"/>
      <c r="Z308" s="220"/>
      <c r="AA308" s="220"/>
      <c r="AB308" s="220"/>
      <c r="AC308" s="220"/>
      <c r="AD308" s="220"/>
      <c r="AE308" s="220"/>
      <c r="AF308" s="220"/>
      <c r="AG308" s="220"/>
      <c r="AH308" s="220"/>
      <c r="AI308" s="220"/>
      <c r="AJ308" s="220"/>
      <c r="AK308" s="220"/>
      <c r="AL308" s="220"/>
      <c r="AM308" s="220"/>
      <c r="AN308" s="220"/>
      <c r="AO308" s="220"/>
      <c r="AP308" s="220"/>
      <c r="AQ308" s="220"/>
      <c r="AR308" s="220"/>
      <c r="AS308" s="220"/>
      <c r="AT308" s="220"/>
      <c r="AU308" s="220"/>
      <c r="AV308" s="220"/>
      <c r="AW308" s="220"/>
      <c r="AX308" s="220"/>
      <c r="AY308" s="220"/>
      <c r="AZ308" s="220"/>
      <c r="BA308" s="220"/>
      <c r="BB308" s="220"/>
      <c r="BC308" s="220"/>
      <c r="BD308" s="220"/>
      <c r="BE308" s="221"/>
    </row>
    <row r="309" spans="2:57" x14ac:dyDescent="0.25">
      <c r="B309" s="222"/>
      <c r="C309" s="220" t="s">
        <v>73</v>
      </c>
      <c r="D309" s="220"/>
      <c r="E309" s="220"/>
      <c r="F309" s="220"/>
      <c r="G309" s="236"/>
      <c r="H309" s="236">
        <f>IF(H$299&gt;$G$305,0,IPMT($G$306,H$299,$G$305,-$G$304))</f>
        <v>0</v>
      </c>
      <c r="I309" s="236">
        <f t="shared" ref="I309:BE309" si="102">IF(I$299&gt;$G$305,0,IPMT($G$306,I$299,$G$305,-$G$304))</f>
        <v>0</v>
      </c>
      <c r="J309" s="236">
        <f t="shared" si="102"/>
        <v>0</v>
      </c>
      <c r="K309" s="236">
        <f t="shared" si="102"/>
        <v>0</v>
      </c>
      <c r="L309" s="236">
        <f t="shared" si="102"/>
        <v>0</v>
      </c>
      <c r="M309" s="236">
        <f t="shared" si="102"/>
        <v>0</v>
      </c>
      <c r="N309" s="236">
        <f t="shared" si="102"/>
        <v>0</v>
      </c>
      <c r="O309" s="236">
        <f t="shared" si="102"/>
        <v>0</v>
      </c>
      <c r="P309" s="236">
        <f t="shared" si="102"/>
        <v>0</v>
      </c>
      <c r="Q309" s="236">
        <f t="shared" si="102"/>
        <v>0</v>
      </c>
      <c r="R309" s="236">
        <f t="shared" si="102"/>
        <v>0</v>
      </c>
      <c r="S309" s="236">
        <f t="shared" si="102"/>
        <v>0</v>
      </c>
      <c r="T309" s="236">
        <f t="shared" si="102"/>
        <v>0</v>
      </c>
      <c r="U309" s="236">
        <f t="shared" si="102"/>
        <v>0</v>
      </c>
      <c r="V309" s="236">
        <f t="shared" si="102"/>
        <v>0</v>
      </c>
      <c r="W309" s="236">
        <f t="shared" si="102"/>
        <v>0</v>
      </c>
      <c r="X309" s="236">
        <f t="shared" si="102"/>
        <v>0</v>
      </c>
      <c r="Y309" s="236">
        <f t="shared" si="102"/>
        <v>0</v>
      </c>
      <c r="Z309" s="236">
        <f t="shared" si="102"/>
        <v>0</v>
      </c>
      <c r="AA309" s="236">
        <f t="shared" si="102"/>
        <v>0</v>
      </c>
      <c r="AB309" s="236">
        <f t="shared" si="102"/>
        <v>0</v>
      </c>
      <c r="AC309" s="236">
        <f t="shared" si="102"/>
        <v>0</v>
      </c>
      <c r="AD309" s="236">
        <f t="shared" si="102"/>
        <v>0</v>
      </c>
      <c r="AE309" s="236">
        <f t="shared" si="102"/>
        <v>0</v>
      </c>
      <c r="AF309" s="236">
        <f t="shared" si="102"/>
        <v>0</v>
      </c>
      <c r="AG309" s="236">
        <f t="shared" si="102"/>
        <v>0</v>
      </c>
      <c r="AH309" s="236">
        <f t="shared" si="102"/>
        <v>0</v>
      </c>
      <c r="AI309" s="236">
        <f t="shared" si="102"/>
        <v>0</v>
      </c>
      <c r="AJ309" s="236">
        <f t="shared" si="102"/>
        <v>0</v>
      </c>
      <c r="AK309" s="236">
        <f t="shared" si="102"/>
        <v>0</v>
      </c>
      <c r="AL309" s="236">
        <f t="shared" si="102"/>
        <v>0</v>
      </c>
      <c r="AM309" s="236">
        <f t="shared" si="102"/>
        <v>0</v>
      </c>
      <c r="AN309" s="236">
        <f t="shared" si="102"/>
        <v>0</v>
      </c>
      <c r="AO309" s="236">
        <f t="shared" si="102"/>
        <v>0</v>
      </c>
      <c r="AP309" s="236">
        <f t="shared" si="102"/>
        <v>0</v>
      </c>
      <c r="AQ309" s="236">
        <f t="shared" si="102"/>
        <v>0</v>
      </c>
      <c r="AR309" s="236">
        <f t="shared" si="102"/>
        <v>0</v>
      </c>
      <c r="AS309" s="236">
        <f t="shared" si="102"/>
        <v>0</v>
      </c>
      <c r="AT309" s="236">
        <f t="shared" si="102"/>
        <v>0</v>
      </c>
      <c r="AU309" s="236">
        <f t="shared" si="102"/>
        <v>0</v>
      </c>
      <c r="AV309" s="236">
        <f t="shared" si="102"/>
        <v>0</v>
      </c>
      <c r="AW309" s="236">
        <f t="shared" si="102"/>
        <v>0</v>
      </c>
      <c r="AX309" s="236">
        <f t="shared" si="102"/>
        <v>0</v>
      </c>
      <c r="AY309" s="236">
        <f t="shared" si="102"/>
        <v>0</v>
      </c>
      <c r="AZ309" s="236">
        <f t="shared" si="102"/>
        <v>0</v>
      </c>
      <c r="BA309" s="236">
        <f t="shared" si="102"/>
        <v>0</v>
      </c>
      <c r="BB309" s="236">
        <f t="shared" si="102"/>
        <v>0</v>
      </c>
      <c r="BC309" s="236">
        <f t="shared" si="102"/>
        <v>0</v>
      </c>
      <c r="BD309" s="236">
        <f t="shared" si="102"/>
        <v>0</v>
      </c>
      <c r="BE309" s="1288">
        <f t="shared" si="102"/>
        <v>0</v>
      </c>
    </row>
    <row r="310" spans="2:57" x14ac:dyDescent="0.25">
      <c r="B310" s="222"/>
      <c r="C310" s="228" t="s">
        <v>72</v>
      </c>
      <c r="D310" s="228"/>
      <c r="E310" s="228"/>
      <c r="F310" s="228"/>
      <c r="G310" s="238"/>
      <c r="H310" s="238">
        <f>IF(H$299&gt;$G$305,0,PPMT($G$306,H$299,$G$305,-$G$304))</f>
        <v>0</v>
      </c>
      <c r="I310" s="238">
        <f t="shared" ref="I310:BE310" si="103">IF(I$299&gt;$G$305,0,PPMT($G$306,I$299,$G$305,-$G$304))</f>
        <v>0</v>
      </c>
      <c r="J310" s="238">
        <f t="shared" si="103"/>
        <v>0</v>
      </c>
      <c r="K310" s="238">
        <f t="shared" si="103"/>
        <v>0</v>
      </c>
      <c r="L310" s="238">
        <f t="shared" si="103"/>
        <v>0</v>
      </c>
      <c r="M310" s="238">
        <f t="shared" si="103"/>
        <v>0</v>
      </c>
      <c r="N310" s="238">
        <f t="shared" si="103"/>
        <v>0</v>
      </c>
      <c r="O310" s="238">
        <f t="shared" si="103"/>
        <v>0</v>
      </c>
      <c r="P310" s="238">
        <f t="shared" si="103"/>
        <v>0</v>
      </c>
      <c r="Q310" s="238">
        <f t="shared" si="103"/>
        <v>0</v>
      </c>
      <c r="R310" s="238">
        <f t="shared" si="103"/>
        <v>0</v>
      </c>
      <c r="S310" s="238">
        <f t="shared" si="103"/>
        <v>0</v>
      </c>
      <c r="T310" s="238">
        <f t="shared" si="103"/>
        <v>0</v>
      </c>
      <c r="U310" s="238">
        <f t="shared" si="103"/>
        <v>0</v>
      </c>
      <c r="V310" s="238">
        <f t="shared" si="103"/>
        <v>0</v>
      </c>
      <c r="W310" s="238">
        <f t="shared" si="103"/>
        <v>0</v>
      </c>
      <c r="X310" s="238">
        <f t="shared" si="103"/>
        <v>0</v>
      </c>
      <c r="Y310" s="238">
        <f t="shared" si="103"/>
        <v>0</v>
      </c>
      <c r="Z310" s="238">
        <f t="shared" si="103"/>
        <v>0</v>
      </c>
      <c r="AA310" s="238">
        <f t="shared" si="103"/>
        <v>0</v>
      </c>
      <c r="AB310" s="238">
        <f t="shared" si="103"/>
        <v>0</v>
      </c>
      <c r="AC310" s="238">
        <f t="shared" si="103"/>
        <v>0</v>
      </c>
      <c r="AD310" s="238">
        <f t="shared" si="103"/>
        <v>0</v>
      </c>
      <c r="AE310" s="238">
        <f t="shared" si="103"/>
        <v>0</v>
      </c>
      <c r="AF310" s="238">
        <f t="shared" si="103"/>
        <v>0</v>
      </c>
      <c r="AG310" s="238">
        <f t="shared" si="103"/>
        <v>0</v>
      </c>
      <c r="AH310" s="238">
        <f t="shared" si="103"/>
        <v>0</v>
      </c>
      <c r="AI310" s="238">
        <f t="shared" si="103"/>
        <v>0</v>
      </c>
      <c r="AJ310" s="238">
        <f t="shared" si="103"/>
        <v>0</v>
      </c>
      <c r="AK310" s="238">
        <f t="shared" si="103"/>
        <v>0</v>
      </c>
      <c r="AL310" s="238">
        <f t="shared" si="103"/>
        <v>0</v>
      </c>
      <c r="AM310" s="238">
        <f t="shared" si="103"/>
        <v>0</v>
      </c>
      <c r="AN310" s="238">
        <f t="shared" si="103"/>
        <v>0</v>
      </c>
      <c r="AO310" s="238">
        <f t="shared" si="103"/>
        <v>0</v>
      </c>
      <c r="AP310" s="238">
        <f t="shared" si="103"/>
        <v>0</v>
      </c>
      <c r="AQ310" s="238">
        <f t="shared" si="103"/>
        <v>0</v>
      </c>
      <c r="AR310" s="238">
        <f t="shared" si="103"/>
        <v>0</v>
      </c>
      <c r="AS310" s="238">
        <f t="shared" si="103"/>
        <v>0</v>
      </c>
      <c r="AT310" s="238">
        <f t="shared" si="103"/>
        <v>0</v>
      </c>
      <c r="AU310" s="238">
        <f t="shared" si="103"/>
        <v>0</v>
      </c>
      <c r="AV310" s="238">
        <f t="shared" si="103"/>
        <v>0</v>
      </c>
      <c r="AW310" s="238">
        <f t="shared" si="103"/>
        <v>0</v>
      </c>
      <c r="AX310" s="238">
        <f t="shared" si="103"/>
        <v>0</v>
      </c>
      <c r="AY310" s="238">
        <f t="shared" si="103"/>
        <v>0</v>
      </c>
      <c r="AZ310" s="238">
        <f t="shared" si="103"/>
        <v>0</v>
      </c>
      <c r="BA310" s="238">
        <f t="shared" si="103"/>
        <v>0</v>
      </c>
      <c r="BB310" s="238">
        <f t="shared" si="103"/>
        <v>0</v>
      </c>
      <c r="BC310" s="238">
        <f t="shared" si="103"/>
        <v>0</v>
      </c>
      <c r="BD310" s="238">
        <f t="shared" si="103"/>
        <v>0</v>
      </c>
      <c r="BE310" s="1289">
        <f t="shared" si="103"/>
        <v>0</v>
      </c>
    </row>
    <row r="311" spans="2:57" x14ac:dyDescent="0.25">
      <c r="B311" s="222"/>
      <c r="C311" s="220" t="s">
        <v>74</v>
      </c>
      <c r="D311" s="220"/>
      <c r="E311" s="220"/>
      <c r="F311" s="220"/>
      <c r="G311" s="236"/>
      <c r="H311" s="236">
        <f>SUM(H309:H310)</f>
        <v>0</v>
      </c>
      <c r="I311" s="236">
        <f t="shared" ref="I311:BE311" si="104">SUM(I309:I310)</f>
        <v>0</v>
      </c>
      <c r="J311" s="236">
        <f t="shared" si="104"/>
        <v>0</v>
      </c>
      <c r="K311" s="236">
        <f t="shared" si="104"/>
        <v>0</v>
      </c>
      <c r="L311" s="236">
        <f t="shared" si="104"/>
        <v>0</v>
      </c>
      <c r="M311" s="236">
        <f t="shared" si="104"/>
        <v>0</v>
      </c>
      <c r="N311" s="236">
        <f t="shared" si="104"/>
        <v>0</v>
      </c>
      <c r="O311" s="236">
        <f t="shared" si="104"/>
        <v>0</v>
      </c>
      <c r="P311" s="236">
        <f t="shared" si="104"/>
        <v>0</v>
      </c>
      <c r="Q311" s="236">
        <f t="shared" si="104"/>
        <v>0</v>
      </c>
      <c r="R311" s="236">
        <f t="shared" si="104"/>
        <v>0</v>
      </c>
      <c r="S311" s="236">
        <f t="shared" si="104"/>
        <v>0</v>
      </c>
      <c r="T311" s="236">
        <f t="shared" si="104"/>
        <v>0</v>
      </c>
      <c r="U311" s="236">
        <f t="shared" si="104"/>
        <v>0</v>
      </c>
      <c r="V311" s="236">
        <f t="shared" si="104"/>
        <v>0</v>
      </c>
      <c r="W311" s="236">
        <f t="shared" si="104"/>
        <v>0</v>
      </c>
      <c r="X311" s="236">
        <f t="shared" si="104"/>
        <v>0</v>
      </c>
      <c r="Y311" s="236">
        <f t="shared" si="104"/>
        <v>0</v>
      </c>
      <c r="Z311" s="236">
        <f t="shared" si="104"/>
        <v>0</v>
      </c>
      <c r="AA311" s="236">
        <f t="shared" si="104"/>
        <v>0</v>
      </c>
      <c r="AB311" s="236">
        <f t="shared" si="104"/>
        <v>0</v>
      </c>
      <c r="AC311" s="236">
        <f t="shared" si="104"/>
        <v>0</v>
      </c>
      <c r="AD311" s="236">
        <f t="shared" si="104"/>
        <v>0</v>
      </c>
      <c r="AE311" s="236">
        <f t="shared" si="104"/>
        <v>0</v>
      </c>
      <c r="AF311" s="236">
        <f t="shared" si="104"/>
        <v>0</v>
      </c>
      <c r="AG311" s="236">
        <f t="shared" si="104"/>
        <v>0</v>
      </c>
      <c r="AH311" s="236">
        <f t="shared" si="104"/>
        <v>0</v>
      </c>
      <c r="AI311" s="236">
        <f t="shared" si="104"/>
        <v>0</v>
      </c>
      <c r="AJ311" s="236">
        <f t="shared" si="104"/>
        <v>0</v>
      </c>
      <c r="AK311" s="236">
        <f t="shared" si="104"/>
        <v>0</v>
      </c>
      <c r="AL311" s="236">
        <f t="shared" si="104"/>
        <v>0</v>
      </c>
      <c r="AM311" s="236">
        <f t="shared" si="104"/>
        <v>0</v>
      </c>
      <c r="AN311" s="236">
        <f t="shared" si="104"/>
        <v>0</v>
      </c>
      <c r="AO311" s="236">
        <f t="shared" si="104"/>
        <v>0</v>
      </c>
      <c r="AP311" s="236">
        <f t="shared" si="104"/>
        <v>0</v>
      </c>
      <c r="AQ311" s="236">
        <f t="shared" si="104"/>
        <v>0</v>
      </c>
      <c r="AR311" s="236">
        <f t="shared" si="104"/>
        <v>0</v>
      </c>
      <c r="AS311" s="236">
        <f t="shared" si="104"/>
        <v>0</v>
      </c>
      <c r="AT311" s="236">
        <f t="shared" si="104"/>
        <v>0</v>
      </c>
      <c r="AU311" s="236">
        <f t="shared" si="104"/>
        <v>0</v>
      </c>
      <c r="AV311" s="236">
        <f t="shared" si="104"/>
        <v>0</v>
      </c>
      <c r="AW311" s="236">
        <f t="shared" si="104"/>
        <v>0</v>
      </c>
      <c r="AX311" s="236">
        <f t="shared" si="104"/>
        <v>0</v>
      </c>
      <c r="AY311" s="236">
        <f t="shared" si="104"/>
        <v>0</v>
      </c>
      <c r="AZ311" s="236">
        <f t="shared" si="104"/>
        <v>0</v>
      </c>
      <c r="BA311" s="236">
        <f t="shared" si="104"/>
        <v>0</v>
      </c>
      <c r="BB311" s="236">
        <f t="shared" si="104"/>
        <v>0</v>
      </c>
      <c r="BC311" s="236">
        <f t="shared" si="104"/>
        <v>0</v>
      </c>
      <c r="BD311" s="236">
        <f t="shared" si="104"/>
        <v>0</v>
      </c>
      <c r="BE311" s="1288">
        <f t="shared" si="104"/>
        <v>0</v>
      </c>
    </row>
    <row r="312" spans="2:57" x14ac:dyDescent="0.25">
      <c r="B312" s="222"/>
      <c r="C312" s="220"/>
      <c r="D312" s="220"/>
      <c r="E312" s="220"/>
      <c r="F312" s="220"/>
      <c r="G312" s="236"/>
      <c r="H312" s="236"/>
      <c r="I312" s="236"/>
      <c r="J312" s="236"/>
      <c r="K312" s="236"/>
      <c r="L312" s="236"/>
      <c r="M312" s="236"/>
      <c r="N312" s="236"/>
      <c r="O312" s="236"/>
      <c r="P312" s="236"/>
      <c r="Q312" s="236"/>
      <c r="R312" s="236"/>
      <c r="S312" s="236"/>
      <c r="T312" s="236"/>
      <c r="U312" s="236"/>
      <c r="V312" s="236"/>
      <c r="W312" s="236"/>
      <c r="X312" s="236"/>
      <c r="Y312" s="236"/>
      <c r="Z312" s="236"/>
      <c r="AA312" s="236"/>
      <c r="AB312" s="236"/>
      <c r="AC312" s="236"/>
      <c r="AD312" s="236"/>
      <c r="AE312" s="236"/>
      <c r="AF312" s="236"/>
      <c r="AG312" s="236"/>
      <c r="AH312" s="236"/>
      <c r="AI312" s="236"/>
      <c r="AJ312" s="236"/>
      <c r="AK312" s="236"/>
      <c r="AL312" s="236"/>
      <c r="AM312" s="236"/>
      <c r="AN312" s="236"/>
      <c r="AO312" s="236"/>
      <c r="AP312" s="236"/>
      <c r="AQ312" s="236"/>
      <c r="AR312" s="236"/>
      <c r="AS312" s="236"/>
      <c r="AT312" s="236"/>
      <c r="AU312" s="236"/>
      <c r="AV312" s="236"/>
      <c r="AW312" s="236"/>
      <c r="AX312" s="236"/>
      <c r="AY312" s="236"/>
      <c r="AZ312" s="236"/>
      <c r="BA312" s="236"/>
      <c r="BB312" s="236"/>
      <c r="BC312" s="236"/>
      <c r="BD312" s="236"/>
      <c r="BE312" s="1288"/>
    </row>
    <row r="313" spans="2:57" x14ac:dyDescent="0.25">
      <c r="B313" s="222"/>
      <c r="C313" s="385" t="s">
        <v>65</v>
      </c>
      <c r="D313" s="220"/>
      <c r="E313" s="220"/>
      <c r="F313" s="220"/>
      <c r="G313" s="236"/>
      <c r="H313" s="236"/>
      <c r="I313" s="236"/>
      <c r="J313" s="236"/>
      <c r="K313" s="236"/>
      <c r="L313" s="236"/>
      <c r="M313" s="236"/>
      <c r="N313" s="236"/>
      <c r="O313" s="236"/>
      <c r="P313" s="236"/>
      <c r="Q313" s="236"/>
      <c r="R313" s="236"/>
      <c r="S313" s="236"/>
      <c r="T313" s="236"/>
      <c r="U313" s="236"/>
      <c r="V313" s="236"/>
      <c r="W313" s="236"/>
      <c r="X313" s="236"/>
      <c r="Y313" s="236"/>
      <c r="Z313" s="236"/>
      <c r="AA313" s="236"/>
      <c r="AB313" s="236"/>
      <c r="AC313" s="236"/>
      <c r="AD313" s="236"/>
      <c r="AE313" s="236"/>
      <c r="AF313" s="236"/>
      <c r="AG313" s="236"/>
      <c r="AH313" s="236"/>
      <c r="AI313" s="236"/>
      <c r="AJ313" s="236"/>
      <c r="AK313" s="236"/>
      <c r="AL313" s="236"/>
      <c r="AM313" s="236"/>
      <c r="AN313" s="236"/>
      <c r="AO313" s="236"/>
      <c r="AP313" s="236"/>
      <c r="AQ313" s="236"/>
      <c r="AR313" s="236"/>
      <c r="AS313" s="236"/>
      <c r="AT313" s="236"/>
      <c r="AU313" s="236"/>
      <c r="AV313" s="236"/>
      <c r="AW313" s="236"/>
      <c r="AX313" s="236"/>
      <c r="AY313" s="236"/>
      <c r="AZ313" s="236"/>
      <c r="BA313" s="236"/>
      <c r="BB313" s="236"/>
      <c r="BC313" s="236"/>
      <c r="BD313" s="236"/>
      <c r="BE313" s="1288"/>
    </row>
    <row r="314" spans="2:57" x14ac:dyDescent="0.25">
      <c r="B314" s="222"/>
      <c r="C314" s="220" t="s">
        <v>75</v>
      </c>
      <c r="D314" s="220"/>
      <c r="E314" s="220"/>
      <c r="F314" s="220"/>
      <c r="G314" s="236">
        <v>0</v>
      </c>
      <c r="H314" s="236">
        <f t="shared" ref="H314:AL314" si="105">G317</f>
        <v>0</v>
      </c>
      <c r="I314" s="236">
        <f t="shared" si="105"/>
        <v>0</v>
      </c>
      <c r="J314" s="236">
        <f t="shared" si="105"/>
        <v>0</v>
      </c>
      <c r="K314" s="236">
        <f t="shared" si="105"/>
        <v>0</v>
      </c>
      <c r="L314" s="236">
        <f t="shared" si="105"/>
        <v>0</v>
      </c>
      <c r="M314" s="236">
        <f t="shared" si="105"/>
        <v>0</v>
      </c>
      <c r="N314" s="236">
        <f t="shared" si="105"/>
        <v>0</v>
      </c>
      <c r="O314" s="236">
        <f t="shared" si="105"/>
        <v>0</v>
      </c>
      <c r="P314" s="236">
        <f t="shared" si="105"/>
        <v>0</v>
      </c>
      <c r="Q314" s="236">
        <f t="shared" si="105"/>
        <v>0</v>
      </c>
      <c r="R314" s="236">
        <f t="shared" si="105"/>
        <v>0</v>
      </c>
      <c r="S314" s="236">
        <f t="shared" si="105"/>
        <v>0</v>
      </c>
      <c r="T314" s="236">
        <f t="shared" si="105"/>
        <v>0</v>
      </c>
      <c r="U314" s="236">
        <f t="shared" si="105"/>
        <v>0</v>
      </c>
      <c r="V314" s="236">
        <f t="shared" si="105"/>
        <v>0</v>
      </c>
      <c r="W314" s="236">
        <f t="shared" si="105"/>
        <v>0</v>
      </c>
      <c r="X314" s="236">
        <f t="shared" si="105"/>
        <v>0</v>
      </c>
      <c r="Y314" s="236">
        <f t="shared" si="105"/>
        <v>0</v>
      </c>
      <c r="Z314" s="236">
        <f t="shared" si="105"/>
        <v>0</v>
      </c>
      <c r="AA314" s="236">
        <f t="shared" si="105"/>
        <v>0</v>
      </c>
      <c r="AB314" s="236">
        <f t="shared" si="105"/>
        <v>0</v>
      </c>
      <c r="AC314" s="236">
        <f t="shared" si="105"/>
        <v>0</v>
      </c>
      <c r="AD314" s="236">
        <f t="shared" si="105"/>
        <v>0</v>
      </c>
      <c r="AE314" s="236">
        <f t="shared" si="105"/>
        <v>0</v>
      </c>
      <c r="AF314" s="236">
        <f t="shared" si="105"/>
        <v>0</v>
      </c>
      <c r="AG314" s="236">
        <f t="shared" si="105"/>
        <v>0</v>
      </c>
      <c r="AH314" s="236">
        <f t="shared" si="105"/>
        <v>0</v>
      </c>
      <c r="AI314" s="236">
        <f t="shared" si="105"/>
        <v>0</v>
      </c>
      <c r="AJ314" s="236">
        <f t="shared" si="105"/>
        <v>0</v>
      </c>
      <c r="AK314" s="236">
        <f t="shared" si="105"/>
        <v>0</v>
      </c>
      <c r="AL314" s="236">
        <f t="shared" si="105"/>
        <v>0</v>
      </c>
      <c r="AM314" s="236">
        <f t="shared" ref="AM314:BE314" si="106">AL317</f>
        <v>0</v>
      </c>
      <c r="AN314" s="236">
        <f t="shared" si="106"/>
        <v>0</v>
      </c>
      <c r="AO314" s="236">
        <f t="shared" si="106"/>
        <v>0</v>
      </c>
      <c r="AP314" s="236">
        <f t="shared" si="106"/>
        <v>0</v>
      </c>
      <c r="AQ314" s="236">
        <f t="shared" si="106"/>
        <v>0</v>
      </c>
      <c r="AR314" s="236">
        <f t="shared" si="106"/>
        <v>0</v>
      </c>
      <c r="AS314" s="236">
        <f t="shared" si="106"/>
        <v>0</v>
      </c>
      <c r="AT314" s="236">
        <f t="shared" si="106"/>
        <v>0</v>
      </c>
      <c r="AU314" s="236">
        <f t="shared" si="106"/>
        <v>0</v>
      </c>
      <c r="AV314" s="236">
        <f t="shared" si="106"/>
        <v>0</v>
      </c>
      <c r="AW314" s="236">
        <f t="shared" si="106"/>
        <v>0</v>
      </c>
      <c r="AX314" s="236">
        <f t="shared" si="106"/>
        <v>0</v>
      </c>
      <c r="AY314" s="236">
        <f t="shared" si="106"/>
        <v>0</v>
      </c>
      <c r="AZ314" s="236">
        <f t="shared" si="106"/>
        <v>0</v>
      </c>
      <c r="BA314" s="236">
        <f t="shared" si="106"/>
        <v>0</v>
      </c>
      <c r="BB314" s="236">
        <f t="shared" si="106"/>
        <v>0</v>
      </c>
      <c r="BC314" s="236">
        <f t="shared" si="106"/>
        <v>0</v>
      </c>
      <c r="BD314" s="236">
        <f t="shared" si="106"/>
        <v>0</v>
      </c>
      <c r="BE314" s="1288">
        <f t="shared" si="106"/>
        <v>0</v>
      </c>
    </row>
    <row r="315" spans="2:57" x14ac:dyDescent="0.25">
      <c r="B315" s="222"/>
      <c r="C315" s="220" t="s">
        <v>76</v>
      </c>
      <c r="D315" s="220"/>
      <c r="E315" s="220"/>
      <c r="F315" s="220"/>
      <c r="G315" s="236">
        <f>G304</f>
        <v>0</v>
      </c>
      <c r="H315" s="236">
        <v>0</v>
      </c>
      <c r="I315" s="236">
        <v>0</v>
      </c>
      <c r="J315" s="236">
        <v>0</v>
      </c>
      <c r="K315" s="236">
        <v>0</v>
      </c>
      <c r="L315" s="236">
        <v>0</v>
      </c>
      <c r="M315" s="236">
        <v>0</v>
      </c>
      <c r="N315" s="236">
        <v>0</v>
      </c>
      <c r="O315" s="236">
        <v>0</v>
      </c>
      <c r="P315" s="236">
        <v>0</v>
      </c>
      <c r="Q315" s="236">
        <v>0</v>
      </c>
      <c r="R315" s="236">
        <v>0</v>
      </c>
      <c r="S315" s="236">
        <v>0</v>
      </c>
      <c r="T315" s="236">
        <v>0</v>
      </c>
      <c r="U315" s="236">
        <v>0</v>
      </c>
      <c r="V315" s="236">
        <v>0</v>
      </c>
      <c r="W315" s="236">
        <v>0</v>
      </c>
      <c r="X315" s="236">
        <v>0</v>
      </c>
      <c r="Y315" s="236">
        <v>0</v>
      </c>
      <c r="Z315" s="236">
        <v>0</v>
      </c>
      <c r="AA315" s="236">
        <v>0</v>
      </c>
      <c r="AB315" s="236">
        <v>0</v>
      </c>
      <c r="AC315" s="236">
        <v>0</v>
      </c>
      <c r="AD315" s="236">
        <v>0</v>
      </c>
      <c r="AE315" s="236">
        <v>0</v>
      </c>
      <c r="AF315" s="236">
        <v>0</v>
      </c>
      <c r="AG315" s="236">
        <v>0</v>
      </c>
      <c r="AH315" s="236">
        <v>0</v>
      </c>
      <c r="AI315" s="236">
        <v>0</v>
      </c>
      <c r="AJ315" s="236">
        <v>0</v>
      </c>
      <c r="AK315" s="236">
        <v>0</v>
      </c>
      <c r="AL315" s="236">
        <v>0</v>
      </c>
      <c r="AM315" s="236">
        <v>0</v>
      </c>
      <c r="AN315" s="236">
        <v>0</v>
      </c>
      <c r="AO315" s="236">
        <v>0</v>
      </c>
      <c r="AP315" s="236">
        <v>0</v>
      </c>
      <c r="AQ315" s="236">
        <v>0</v>
      </c>
      <c r="AR315" s="236">
        <v>0</v>
      </c>
      <c r="AS315" s="236">
        <v>0</v>
      </c>
      <c r="AT315" s="236">
        <v>0</v>
      </c>
      <c r="AU315" s="236">
        <v>0</v>
      </c>
      <c r="AV315" s="236">
        <v>0</v>
      </c>
      <c r="AW315" s="236">
        <v>0</v>
      </c>
      <c r="AX315" s="236">
        <v>0</v>
      </c>
      <c r="AY315" s="236">
        <v>0</v>
      </c>
      <c r="AZ315" s="236">
        <v>0</v>
      </c>
      <c r="BA315" s="236">
        <v>0</v>
      </c>
      <c r="BB315" s="236">
        <v>0</v>
      </c>
      <c r="BC315" s="236">
        <v>0</v>
      </c>
      <c r="BD315" s="236">
        <v>0</v>
      </c>
      <c r="BE315" s="1288">
        <v>0</v>
      </c>
    </row>
    <row r="316" spans="2:57" x14ac:dyDescent="0.25">
      <c r="B316" s="222"/>
      <c r="C316" s="228" t="s">
        <v>77</v>
      </c>
      <c r="D316" s="228"/>
      <c r="E316" s="228"/>
      <c r="F316" s="228"/>
      <c r="G316" s="238">
        <v>0</v>
      </c>
      <c r="H316" s="238">
        <f t="shared" ref="H316:AL316" si="107">-H310</f>
        <v>0</v>
      </c>
      <c r="I316" s="238">
        <f t="shared" si="107"/>
        <v>0</v>
      </c>
      <c r="J316" s="238">
        <f t="shared" si="107"/>
        <v>0</v>
      </c>
      <c r="K316" s="238">
        <f t="shared" si="107"/>
        <v>0</v>
      </c>
      <c r="L316" s="238">
        <f t="shared" si="107"/>
        <v>0</v>
      </c>
      <c r="M316" s="238">
        <f t="shared" si="107"/>
        <v>0</v>
      </c>
      <c r="N316" s="238">
        <f t="shared" si="107"/>
        <v>0</v>
      </c>
      <c r="O316" s="238">
        <f t="shared" si="107"/>
        <v>0</v>
      </c>
      <c r="P316" s="238">
        <f t="shared" si="107"/>
        <v>0</v>
      </c>
      <c r="Q316" s="238">
        <f t="shared" si="107"/>
        <v>0</v>
      </c>
      <c r="R316" s="238">
        <f t="shared" si="107"/>
        <v>0</v>
      </c>
      <c r="S316" s="238">
        <f t="shared" si="107"/>
        <v>0</v>
      </c>
      <c r="T316" s="238">
        <f t="shared" si="107"/>
        <v>0</v>
      </c>
      <c r="U316" s="238">
        <f t="shared" si="107"/>
        <v>0</v>
      </c>
      <c r="V316" s="238">
        <f t="shared" si="107"/>
        <v>0</v>
      </c>
      <c r="W316" s="238">
        <f t="shared" si="107"/>
        <v>0</v>
      </c>
      <c r="X316" s="238">
        <f t="shared" si="107"/>
        <v>0</v>
      </c>
      <c r="Y316" s="238">
        <f t="shared" si="107"/>
        <v>0</v>
      </c>
      <c r="Z316" s="238">
        <f t="shared" si="107"/>
        <v>0</v>
      </c>
      <c r="AA316" s="238">
        <f t="shared" si="107"/>
        <v>0</v>
      </c>
      <c r="AB316" s="238">
        <f t="shared" si="107"/>
        <v>0</v>
      </c>
      <c r="AC316" s="238">
        <f t="shared" si="107"/>
        <v>0</v>
      </c>
      <c r="AD316" s="238">
        <f t="shared" si="107"/>
        <v>0</v>
      </c>
      <c r="AE316" s="238">
        <f t="shared" si="107"/>
        <v>0</v>
      </c>
      <c r="AF316" s="238">
        <f t="shared" si="107"/>
        <v>0</v>
      </c>
      <c r="AG316" s="238">
        <f t="shared" si="107"/>
        <v>0</v>
      </c>
      <c r="AH316" s="238">
        <f t="shared" si="107"/>
        <v>0</v>
      </c>
      <c r="AI316" s="238">
        <f t="shared" si="107"/>
        <v>0</v>
      </c>
      <c r="AJ316" s="238">
        <f t="shared" si="107"/>
        <v>0</v>
      </c>
      <c r="AK316" s="238">
        <f t="shared" si="107"/>
        <v>0</v>
      </c>
      <c r="AL316" s="238">
        <f t="shared" si="107"/>
        <v>0</v>
      </c>
      <c r="AM316" s="238">
        <f t="shared" ref="AM316:BE316" si="108">-AM310</f>
        <v>0</v>
      </c>
      <c r="AN316" s="238">
        <f t="shared" si="108"/>
        <v>0</v>
      </c>
      <c r="AO316" s="238">
        <f t="shared" si="108"/>
        <v>0</v>
      </c>
      <c r="AP316" s="238">
        <f t="shared" si="108"/>
        <v>0</v>
      </c>
      <c r="AQ316" s="238">
        <f t="shared" si="108"/>
        <v>0</v>
      </c>
      <c r="AR316" s="238">
        <f t="shared" si="108"/>
        <v>0</v>
      </c>
      <c r="AS316" s="238">
        <f t="shared" si="108"/>
        <v>0</v>
      </c>
      <c r="AT316" s="238">
        <f t="shared" si="108"/>
        <v>0</v>
      </c>
      <c r="AU316" s="238">
        <f t="shared" si="108"/>
        <v>0</v>
      </c>
      <c r="AV316" s="238">
        <f t="shared" si="108"/>
        <v>0</v>
      </c>
      <c r="AW316" s="238">
        <f t="shared" si="108"/>
        <v>0</v>
      </c>
      <c r="AX316" s="238">
        <f t="shared" si="108"/>
        <v>0</v>
      </c>
      <c r="AY316" s="238">
        <f t="shared" si="108"/>
        <v>0</v>
      </c>
      <c r="AZ316" s="238">
        <f t="shared" si="108"/>
        <v>0</v>
      </c>
      <c r="BA316" s="238">
        <f t="shared" si="108"/>
        <v>0</v>
      </c>
      <c r="BB316" s="238">
        <f t="shared" si="108"/>
        <v>0</v>
      </c>
      <c r="BC316" s="238">
        <f t="shared" si="108"/>
        <v>0</v>
      </c>
      <c r="BD316" s="238">
        <f t="shared" si="108"/>
        <v>0</v>
      </c>
      <c r="BE316" s="1289">
        <f t="shared" si="108"/>
        <v>0</v>
      </c>
    </row>
    <row r="317" spans="2:57" x14ac:dyDescent="0.25">
      <c r="B317" s="222"/>
      <c r="C317" s="220" t="s">
        <v>66</v>
      </c>
      <c r="D317" s="220"/>
      <c r="E317" s="220"/>
      <c r="F317" s="220"/>
      <c r="G317" s="236">
        <f t="shared" ref="G317:AL317" si="109">SUM(G314:G316)</f>
        <v>0</v>
      </c>
      <c r="H317" s="236">
        <f t="shared" si="109"/>
        <v>0</v>
      </c>
      <c r="I317" s="236">
        <f t="shared" si="109"/>
        <v>0</v>
      </c>
      <c r="J317" s="236">
        <f t="shared" si="109"/>
        <v>0</v>
      </c>
      <c r="K317" s="236">
        <f t="shared" si="109"/>
        <v>0</v>
      </c>
      <c r="L317" s="236">
        <f t="shared" si="109"/>
        <v>0</v>
      </c>
      <c r="M317" s="236">
        <f t="shared" si="109"/>
        <v>0</v>
      </c>
      <c r="N317" s="236">
        <f t="shared" si="109"/>
        <v>0</v>
      </c>
      <c r="O317" s="236">
        <f t="shared" si="109"/>
        <v>0</v>
      </c>
      <c r="P317" s="236">
        <f t="shared" si="109"/>
        <v>0</v>
      </c>
      <c r="Q317" s="236">
        <f t="shared" si="109"/>
        <v>0</v>
      </c>
      <c r="R317" s="236">
        <f t="shared" si="109"/>
        <v>0</v>
      </c>
      <c r="S317" s="236">
        <f t="shared" si="109"/>
        <v>0</v>
      </c>
      <c r="T317" s="236">
        <f t="shared" si="109"/>
        <v>0</v>
      </c>
      <c r="U317" s="236">
        <f t="shared" si="109"/>
        <v>0</v>
      </c>
      <c r="V317" s="236">
        <f t="shared" si="109"/>
        <v>0</v>
      </c>
      <c r="W317" s="236">
        <f t="shared" si="109"/>
        <v>0</v>
      </c>
      <c r="X317" s="236">
        <f t="shared" si="109"/>
        <v>0</v>
      </c>
      <c r="Y317" s="236">
        <f t="shared" si="109"/>
        <v>0</v>
      </c>
      <c r="Z317" s="236">
        <f t="shared" si="109"/>
        <v>0</v>
      </c>
      <c r="AA317" s="236">
        <f t="shared" si="109"/>
        <v>0</v>
      </c>
      <c r="AB317" s="236">
        <f t="shared" si="109"/>
        <v>0</v>
      </c>
      <c r="AC317" s="236">
        <f t="shared" si="109"/>
        <v>0</v>
      </c>
      <c r="AD317" s="236">
        <f t="shared" si="109"/>
        <v>0</v>
      </c>
      <c r="AE317" s="236">
        <f t="shared" si="109"/>
        <v>0</v>
      </c>
      <c r="AF317" s="236">
        <f t="shared" si="109"/>
        <v>0</v>
      </c>
      <c r="AG317" s="236">
        <f t="shared" si="109"/>
        <v>0</v>
      </c>
      <c r="AH317" s="236">
        <f t="shared" si="109"/>
        <v>0</v>
      </c>
      <c r="AI317" s="236">
        <f t="shared" si="109"/>
        <v>0</v>
      </c>
      <c r="AJ317" s="236">
        <f t="shared" si="109"/>
        <v>0</v>
      </c>
      <c r="AK317" s="236">
        <f t="shared" si="109"/>
        <v>0</v>
      </c>
      <c r="AL317" s="236">
        <f t="shared" si="109"/>
        <v>0</v>
      </c>
      <c r="AM317" s="236">
        <f t="shared" ref="AM317:BE317" si="110">SUM(AM314:AM316)</f>
        <v>0</v>
      </c>
      <c r="AN317" s="236">
        <f t="shared" si="110"/>
        <v>0</v>
      </c>
      <c r="AO317" s="236">
        <f t="shared" si="110"/>
        <v>0</v>
      </c>
      <c r="AP317" s="236">
        <f t="shared" si="110"/>
        <v>0</v>
      </c>
      <c r="AQ317" s="236">
        <f t="shared" si="110"/>
        <v>0</v>
      </c>
      <c r="AR317" s="236">
        <f t="shared" si="110"/>
        <v>0</v>
      </c>
      <c r="AS317" s="236">
        <f t="shared" si="110"/>
        <v>0</v>
      </c>
      <c r="AT317" s="236">
        <f t="shared" si="110"/>
        <v>0</v>
      </c>
      <c r="AU317" s="236">
        <f t="shared" si="110"/>
        <v>0</v>
      </c>
      <c r="AV317" s="236">
        <f t="shared" si="110"/>
        <v>0</v>
      </c>
      <c r="AW317" s="236">
        <f t="shared" si="110"/>
        <v>0</v>
      </c>
      <c r="AX317" s="236">
        <f t="shared" si="110"/>
        <v>0</v>
      </c>
      <c r="AY317" s="236">
        <f t="shared" si="110"/>
        <v>0</v>
      </c>
      <c r="AZ317" s="236">
        <f t="shared" si="110"/>
        <v>0</v>
      </c>
      <c r="BA317" s="236">
        <f t="shared" si="110"/>
        <v>0</v>
      </c>
      <c r="BB317" s="236">
        <f t="shared" si="110"/>
        <v>0</v>
      </c>
      <c r="BC317" s="236">
        <f t="shared" si="110"/>
        <v>0</v>
      </c>
      <c r="BD317" s="236">
        <f t="shared" si="110"/>
        <v>0</v>
      </c>
      <c r="BE317" s="1288">
        <f t="shared" si="110"/>
        <v>0</v>
      </c>
    </row>
    <row r="318" spans="2:57" x14ac:dyDescent="0.25">
      <c r="B318" s="222"/>
      <c r="C318" s="220"/>
      <c r="D318" s="220"/>
      <c r="E318" s="220"/>
      <c r="F318" s="220"/>
      <c r="G318" s="236"/>
      <c r="H318" s="236"/>
      <c r="I318" s="236"/>
      <c r="J318" s="236"/>
      <c r="K318" s="236"/>
      <c r="L318" s="236"/>
      <c r="M318" s="236"/>
      <c r="N318" s="236"/>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236"/>
      <c r="AN318" s="236"/>
      <c r="AO318" s="236"/>
      <c r="AP318" s="236"/>
      <c r="AQ318" s="236"/>
      <c r="AR318" s="236"/>
      <c r="AS318" s="236"/>
      <c r="AT318" s="236"/>
      <c r="AU318" s="236"/>
      <c r="AV318" s="236"/>
      <c r="AW318" s="236"/>
      <c r="AX318" s="236"/>
      <c r="AY318" s="236"/>
      <c r="AZ318" s="236"/>
      <c r="BA318" s="236"/>
      <c r="BB318" s="236"/>
      <c r="BC318" s="236"/>
      <c r="BD318" s="236"/>
      <c r="BE318" s="1288"/>
    </row>
    <row r="319" spans="2:57" x14ac:dyDescent="0.25">
      <c r="B319" s="222"/>
      <c r="C319" s="385" t="s">
        <v>71</v>
      </c>
      <c r="D319" s="220"/>
      <c r="E319" s="220"/>
      <c r="F319" s="220"/>
      <c r="G319" s="236"/>
      <c r="H319" s="236"/>
      <c r="I319" s="236"/>
      <c r="J319" s="236"/>
      <c r="K319" s="236"/>
      <c r="L319" s="236"/>
      <c r="M319" s="236"/>
      <c r="N319" s="236"/>
      <c r="O319" s="236"/>
      <c r="P319" s="236"/>
      <c r="Q319" s="236"/>
      <c r="R319" s="236"/>
      <c r="S319" s="236"/>
      <c r="T319" s="236"/>
      <c r="U319" s="236"/>
      <c r="V319" s="236"/>
      <c r="W319" s="236"/>
      <c r="X319" s="236"/>
      <c r="Y319" s="236"/>
      <c r="Z319" s="236"/>
      <c r="AA319" s="236"/>
      <c r="AB319" s="236"/>
      <c r="AC319" s="236"/>
      <c r="AD319" s="236"/>
      <c r="AE319" s="236"/>
      <c r="AF319" s="236"/>
      <c r="AG319" s="236"/>
      <c r="AH319" s="236"/>
      <c r="AI319" s="236"/>
      <c r="AJ319" s="236"/>
      <c r="AK319" s="236"/>
      <c r="AL319" s="236"/>
      <c r="AM319" s="236"/>
      <c r="AN319" s="236"/>
      <c r="AO319" s="236"/>
      <c r="AP319" s="236"/>
      <c r="AQ319" s="236"/>
      <c r="AR319" s="236"/>
      <c r="AS319" s="236"/>
      <c r="AT319" s="236"/>
      <c r="AU319" s="236"/>
      <c r="AV319" s="236"/>
      <c r="AW319" s="236"/>
      <c r="AX319" s="236"/>
      <c r="AY319" s="236"/>
      <c r="AZ319" s="236"/>
      <c r="BA319" s="236"/>
      <c r="BB319" s="236"/>
      <c r="BC319" s="236"/>
      <c r="BD319" s="236"/>
      <c r="BE319" s="1288"/>
    </row>
    <row r="320" spans="2:57" x14ac:dyDescent="0.25">
      <c r="B320" s="222"/>
      <c r="C320" s="220" t="str">
        <f>'II. Inputs, Baseline Energy Mix'!$E$70</f>
        <v>Front-end Fee</v>
      </c>
      <c r="D320" s="220"/>
      <c r="E320" s="220"/>
      <c r="F320" s="220"/>
      <c r="G320" s="236"/>
      <c r="H320" s="236">
        <f>IF($G$304&gt;0, $G$304*'II. Inputs, Baseline Energy Mix'!$N$70/10000,0)</f>
        <v>0</v>
      </c>
      <c r="I320" s="236">
        <v>0</v>
      </c>
      <c r="J320" s="236">
        <v>0</v>
      </c>
      <c r="K320" s="236">
        <v>0</v>
      </c>
      <c r="L320" s="236">
        <v>0</v>
      </c>
      <c r="M320" s="236">
        <v>0</v>
      </c>
      <c r="N320" s="236">
        <v>0</v>
      </c>
      <c r="O320" s="236">
        <v>0</v>
      </c>
      <c r="P320" s="236">
        <v>0</v>
      </c>
      <c r="Q320" s="236">
        <v>0</v>
      </c>
      <c r="R320" s="236">
        <v>0</v>
      </c>
      <c r="S320" s="236">
        <v>0</v>
      </c>
      <c r="T320" s="236">
        <v>0</v>
      </c>
      <c r="U320" s="236">
        <v>0</v>
      </c>
      <c r="V320" s="236">
        <v>0</v>
      </c>
      <c r="W320" s="236">
        <v>0</v>
      </c>
      <c r="X320" s="236">
        <v>0</v>
      </c>
      <c r="Y320" s="236">
        <v>0</v>
      </c>
      <c r="Z320" s="236">
        <v>0</v>
      </c>
      <c r="AA320" s="236">
        <v>0</v>
      </c>
      <c r="AB320" s="236">
        <v>0</v>
      </c>
      <c r="AC320" s="236">
        <v>0</v>
      </c>
      <c r="AD320" s="236">
        <v>0</v>
      </c>
      <c r="AE320" s="236">
        <v>0</v>
      </c>
      <c r="AF320" s="236">
        <v>0</v>
      </c>
      <c r="AG320" s="236">
        <v>0</v>
      </c>
      <c r="AH320" s="236">
        <v>0</v>
      </c>
      <c r="AI320" s="236">
        <v>0</v>
      </c>
      <c r="AJ320" s="236">
        <v>0</v>
      </c>
      <c r="AK320" s="236">
        <v>0</v>
      </c>
      <c r="AL320" s="236">
        <v>0</v>
      </c>
      <c r="AM320" s="236">
        <v>0</v>
      </c>
      <c r="AN320" s="236">
        <v>0</v>
      </c>
      <c r="AO320" s="236">
        <v>0</v>
      </c>
      <c r="AP320" s="236">
        <v>0</v>
      </c>
      <c r="AQ320" s="236">
        <v>0</v>
      </c>
      <c r="AR320" s="236">
        <v>0</v>
      </c>
      <c r="AS320" s="236">
        <v>0</v>
      </c>
      <c r="AT320" s="236">
        <v>0</v>
      </c>
      <c r="AU320" s="236">
        <v>0</v>
      </c>
      <c r="AV320" s="236">
        <v>0</v>
      </c>
      <c r="AW320" s="236">
        <v>0</v>
      </c>
      <c r="AX320" s="236">
        <v>0</v>
      </c>
      <c r="AY320" s="236">
        <v>0</v>
      </c>
      <c r="AZ320" s="236">
        <v>0</v>
      </c>
      <c r="BA320" s="236">
        <v>0</v>
      </c>
      <c r="BB320" s="236">
        <v>0</v>
      </c>
      <c r="BC320" s="236">
        <v>0</v>
      </c>
      <c r="BD320" s="236">
        <v>0</v>
      </c>
      <c r="BE320" s="1288">
        <v>0</v>
      </c>
    </row>
    <row r="321" spans="2:58" x14ac:dyDescent="0.25">
      <c r="B321" s="222"/>
      <c r="C321" s="220"/>
      <c r="D321" s="220"/>
      <c r="E321" s="220"/>
      <c r="F321" s="220"/>
      <c r="G321" s="220"/>
      <c r="H321" s="220"/>
      <c r="I321" s="220"/>
      <c r="J321" s="220"/>
      <c r="K321" s="220"/>
      <c r="L321" s="220"/>
      <c r="M321" s="220"/>
      <c r="N321" s="220"/>
      <c r="O321" s="220"/>
      <c r="P321" s="220"/>
      <c r="Q321" s="220"/>
      <c r="R321" s="220"/>
      <c r="S321" s="220"/>
      <c r="T321" s="220"/>
      <c r="U321" s="220"/>
      <c r="V321" s="220"/>
      <c r="W321" s="220"/>
      <c r="X321" s="220"/>
      <c r="Y321" s="220"/>
      <c r="Z321" s="220"/>
      <c r="AA321" s="220"/>
      <c r="AB321" s="220"/>
      <c r="AC321" s="220"/>
      <c r="AD321" s="220"/>
      <c r="AE321" s="220"/>
      <c r="AF321" s="220"/>
      <c r="AG321" s="220"/>
      <c r="AH321" s="220"/>
      <c r="AI321" s="220"/>
      <c r="AJ321" s="220"/>
      <c r="AK321" s="220"/>
      <c r="AL321" s="220"/>
      <c r="AM321" s="220"/>
      <c r="AN321" s="220"/>
      <c r="AO321" s="220"/>
      <c r="AP321" s="220"/>
      <c r="AQ321" s="220"/>
      <c r="AR321" s="220"/>
      <c r="AS321" s="220"/>
      <c r="AT321" s="220"/>
      <c r="AU321" s="220"/>
      <c r="AV321" s="220"/>
      <c r="AW321" s="220"/>
      <c r="AX321" s="220"/>
      <c r="AY321" s="220"/>
      <c r="AZ321" s="220"/>
      <c r="BA321" s="220"/>
      <c r="BB321" s="220"/>
      <c r="BC321" s="220"/>
      <c r="BD321" s="220"/>
      <c r="BE321" s="221"/>
    </row>
    <row r="322" spans="2:58" x14ac:dyDescent="0.25">
      <c r="B322" s="219" t="s">
        <v>179</v>
      </c>
      <c r="C322" s="220"/>
      <c r="D322" s="220"/>
      <c r="E322" s="220"/>
      <c r="F322" s="220"/>
      <c r="G322" s="220"/>
      <c r="H322" s="220"/>
      <c r="I322" s="220"/>
      <c r="J322" s="220"/>
      <c r="K322" s="220"/>
      <c r="L322" s="220"/>
      <c r="M322" s="220"/>
      <c r="N322" s="220"/>
      <c r="O322" s="220"/>
      <c r="P322" s="220"/>
      <c r="Q322" s="220"/>
      <c r="R322" s="220"/>
      <c r="S322" s="220"/>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1"/>
    </row>
    <row r="323" spans="2:58" x14ac:dyDescent="0.25">
      <c r="B323" s="222"/>
      <c r="C323" s="382" t="s">
        <v>68</v>
      </c>
      <c r="D323" s="224" t="s">
        <v>22</v>
      </c>
      <c r="E323" s="220"/>
      <c r="F323" s="220"/>
      <c r="G323" s="236">
        <f>IF('II. Inputs, Baseline Energy Mix'!$N$15&gt;0,('II. Inputs, Baseline Energy Mix'!$N$16*'II. Inputs, Baseline Energy Mix'!$N$17*'II. Inputs, Baseline Energy Mix'!$N$30*'II. Inputs, Baseline Energy Mix'!$N$33),0)</f>
        <v>0</v>
      </c>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20"/>
      <c r="AR323" s="220"/>
      <c r="AS323" s="220"/>
      <c r="AT323" s="220"/>
      <c r="AU323" s="220"/>
      <c r="AV323" s="220"/>
      <c r="AW323" s="220"/>
      <c r="AX323" s="220"/>
      <c r="AY323" s="220"/>
      <c r="AZ323" s="220"/>
      <c r="BA323" s="220"/>
      <c r="BB323" s="220"/>
      <c r="BC323" s="220"/>
      <c r="BD323" s="220"/>
      <c r="BE323" s="221"/>
    </row>
    <row r="324" spans="2:58" x14ac:dyDescent="0.25">
      <c r="B324" s="222"/>
      <c r="C324" s="382" t="s">
        <v>69</v>
      </c>
      <c r="D324" s="224" t="s">
        <v>20</v>
      </c>
      <c r="E324" s="220"/>
      <c r="F324" s="220"/>
      <c r="G324" s="223">
        <f>SUM('II. Inputs, Baseline Energy Mix'!$N$73)</f>
        <v>0</v>
      </c>
      <c r="H324" s="220"/>
      <c r="I324" s="220"/>
      <c r="J324" s="220"/>
      <c r="K324" s="220"/>
      <c r="L324" s="220"/>
      <c r="M324" s="220"/>
      <c r="N324" s="220"/>
      <c r="O324" s="220"/>
      <c r="P324" s="220"/>
      <c r="Q324" s="220"/>
      <c r="R324" s="220"/>
      <c r="S324" s="220"/>
      <c r="T324" s="220"/>
      <c r="U324" s="220"/>
      <c r="V324" s="220"/>
      <c r="W324" s="220"/>
      <c r="X324" s="220"/>
      <c r="Y324" s="220"/>
      <c r="Z324" s="220"/>
      <c r="AA324" s="220"/>
      <c r="AB324" s="220"/>
      <c r="AC324" s="220"/>
      <c r="AD324" s="220"/>
      <c r="AE324" s="220"/>
      <c r="AF324" s="220"/>
      <c r="AG324" s="220"/>
      <c r="AH324" s="220"/>
      <c r="AI324" s="220"/>
      <c r="AJ324" s="220"/>
      <c r="AK324" s="220"/>
      <c r="AL324" s="220"/>
      <c r="AM324" s="220"/>
      <c r="AN324" s="220"/>
      <c r="AO324" s="220"/>
      <c r="AP324" s="220"/>
      <c r="AQ324" s="220"/>
      <c r="AR324" s="220"/>
      <c r="AS324" s="220"/>
      <c r="AT324" s="220"/>
      <c r="AU324" s="220"/>
      <c r="AV324" s="220"/>
      <c r="AW324" s="220"/>
      <c r="AX324" s="220"/>
      <c r="AY324" s="220"/>
      <c r="AZ324" s="220"/>
      <c r="BA324" s="220"/>
      <c r="BB324" s="220"/>
      <c r="BC324" s="220"/>
      <c r="BD324" s="220"/>
      <c r="BE324" s="221"/>
    </row>
    <row r="325" spans="2:58" x14ac:dyDescent="0.25">
      <c r="B325" s="222"/>
      <c r="C325" s="382" t="s">
        <v>70</v>
      </c>
      <c r="D325" s="224" t="s">
        <v>16</v>
      </c>
      <c r="E325" s="220"/>
      <c r="F325" s="220"/>
      <c r="G325" s="1105">
        <f>SUM('II. Inputs, Baseline Energy Mix'!$N$72)</f>
        <v>0</v>
      </c>
      <c r="H325" s="220"/>
      <c r="I325" s="220"/>
      <c r="J325" s="220"/>
      <c r="K325" s="220"/>
      <c r="L325" s="220"/>
      <c r="M325" s="220"/>
      <c r="N325" s="220"/>
      <c r="O325" s="220"/>
      <c r="P325" s="220"/>
      <c r="Q325" s="220"/>
      <c r="R325" s="220"/>
      <c r="S325" s="220"/>
      <c r="T325" s="220"/>
      <c r="U325" s="220"/>
      <c r="V325" s="220"/>
      <c r="W325" s="220"/>
      <c r="X325" s="220"/>
      <c r="Y325" s="220"/>
      <c r="Z325" s="220"/>
      <c r="AA325" s="220"/>
      <c r="AB325" s="220"/>
      <c r="AC325" s="220"/>
      <c r="AD325" s="220"/>
      <c r="AE325" s="220"/>
      <c r="AF325" s="220"/>
      <c r="AG325" s="220"/>
      <c r="AH325" s="220"/>
      <c r="AI325" s="220"/>
      <c r="AJ325" s="220"/>
      <c r="AK325" s="220"/>
      <c r="AL325" s="220"/>
      <c r="AM325" s="220"/>
      <c r="AN325" s="220"/>
      <c r="AO325" s="220"/>
      <c r="AP325" s="220"/>
      <c r="AQ325" s="220"/>
      <c r="AR325" s="220"/>
      <c r="AS325" s="220"/>
      <c r="AT325" s="220"/>
      <c r="AU325" s="220"/>
      <c r="AV325" s="220"/>
      <c r="AW325" s="220"/>
      <c r="AX325" s="220"/>
      <c r="AY325" s="220"/>
      <c r="AZ325" s="220"/>
      <c r="BA325" s="220"/>
      <c r="BB325" s="220"/>
      <c r="BC325" s="220"/>
      <c r="BD325" s="220"/>
      <c r="BE325" s="221"/>
    </row>
    <row r="326" spans="2:58" x14ac:dyDescent="0.25">
      <c r="B326" s="222"/>
      <c r="C326" s="382" t="str">
        <f>'II. Inputs, Baseline Energy Mix'!$E$75</f>
        <v>Guarantee Coverage, as a % of Commercial Loan Value</v>
      </c>
      <c r="D326" s="224" t="s">
        <v>16</v>
      </c>
      <c r="E326" s="220"/>
      <c r="F326" s="220"/>
      <c r="G326" s="383">
        <f>SUM('II. Inputs, Baseline Energy Mix'!$N$75)</f>
        <v>0</v>
      </c>
      <c r="H326" s="220"/>
      <c r="I326" s="220"/>
      <c r="J326" s="220"/>
      <c r="K326" s="220"/>
      <c r="L326" s="220"/>
      <c r="M326" s="220"/>
      <c r="N326" s="220"/>
      <c r="O326" s="220"/>
      <c r="P326" s="220"/>
      <c r="Q326" s="220"/>
      <c r="R326" s="220"/>
      <c r="S326" s="220"/>
      <c r="T326" s="220"/>
      <c r="U326" s="220"/>
      <c r="V326" s="220"/>
      <c r="W326" s="220"/>
      <c r="X326" s="220"/>
      <c r="Y326" s="220"/>
      <c r="Z326" s="220"/>
      <c r="AA326" s="220"/>
      <c r="AB326" s="220"/>
      <c r="AC326" s="220"/>
      <c r="AD326" s="220"/>
      <c r="AE326" s="220"/>
      <c r="AF326" s="220"/>
      <c r="AG326" s="220"/>
      <c r="AH326" s="220"/>
      <c r="AI326" s="220"/>
      <c r="AJ326" s="220"/>
      <c r="AK326" s="220"/>
      <c r="AL326" s="220"/>
      <c r="AM326" s="220"/>
      <c r="AN326" s="220"/>
      <c r="AO326" s="220"/>
      <c r="AP326" s="220"/>
      <c r="AQ326" s="220"/>
      <c r="AR326" s="220"/>
      <c r="AS326" s="220"/>
      <c r="AT326" s="220"/>
      <c r="AU326" s="220"/>
      <c r="AV326" s="220"/>
      <c r="AW326" s="220"/>
      <c r="AX326" s="220"/>
      <c r="AY326" s="220"/>
      <c r="AZ326" s="220"/>
      <c r="BA326" s="220"/>
      <c r="BB326" s="220"/>
      <c r="BC326" s="220"/>
      <c r="BD326" s="220"/>
      <c r="BE326" s="221"/>
    </row>
    <row r="327" spans="2:58" x14ac:dyDescent="0.25">
      <c r="B327" s="222"/>
      <c r="C327" s="382" t="str">
        <f>'II. Inputs, Baseline Energy Mix'!$E$76</f>
        <v xml:space="preserve">Term of Public Guarantee Coverage </v>
      </c>
      <c r="D327" s="224" t="s">
        <v>20</v>
      </c>
      <c r="E327" s="220"/>
      <c r="F327" s="220"/>
      <c r="G327" s="223">
        <f>SUM('II. Inputs, Baseline Energy Mix'!$N$76)</f>
        <v>0</v>
      </c>
      <c r="H327" s="220"/>
      <c r="I327" s="220"/>
      <c r="J327" s="220"/>
      <c r="K327" s="220"/>
      <c r="L327" s="220"/>
      <c r="M327" s="220"/>
      <c r="N327" s="220"/>
      <c r="O327" s="220"/>
      <c r="P327" s="220"/>
      <c r="Q327" s="220"/>
      <c r="R327" s="220"/>
      <c r="S327" s="220"/>
      <c r="T327" s="220"/>
      <c r="U327" s="220"/>
      <c r="V327" s="220"/>
      <c r="W327" s="220"/>
      <c r="X327" s="220"/>
      <c r="Y327" s="220"/>
      <c r="Z327" s="220"/>
      <c r="AA327" s="220"/>
      <c r="AB327" s="220"/>
      <c r="AC327" s="220"/>
      <c r="AD327" s="220"/>
      <c r="AE327" s="220"/>
      <c r="AF327" s="220"/>
      <c r="AG327" s="220"/>
      <c r="AH327" s="220"/>
      <c r="AI327" s="220"/>
      <c r="AJ327" s="220"/>
      <c r="AK327" s="220"/>
      <c r="AL327" s="220"/>
      <c r="AM327" s="220"/>
      <c r="AN327" s="220"/>
      <c r="AO327" s="220"/>
      <c r="AP327" s="220"/>
      <c r="AQ327" s="220"/>
      <c r="AR327" s="220"/>
      <c r="AS327" s="220"/>
      <c r="AT327" s="220"/>
      <c r="AU327" s="220"/>
      <c r="AV327" s="220"/>
      <c r="AW327" s="220"/>
      <c r="AX327" s="220"/>
      <c r="AY327" s="220"/>
      <c r="AZ327" s="220"/>
      <c r="BA327" s="220"/>
      <c r="BB327" s="220"/>
      <c r="BC327" s="220"/>
      <c r="BD327" s="220"/>
      <c r="BE327" s="221"/>
    </row>
    <row r="328" spans="2:58" x14ac:dyDescent="0.25">
      <c r="B328" s="222"/>
      <c r="C328" s="220"/>
      <c r="D328" s="220"/>
      <c r="E328" s="220"/>
      <c r="F328" s="220"/>
      <c r="G328" s="220"/>
      <c r="H328" s="220"/>
      <c r="I328" s="220"/>
      <c r="J328" s="220"/>
      <c r="K328" s="220"/>
      <c r="L328" s="220"/>
      <c r="M328" s="220"/>
      <c r="N328" s="220"/>
      <c r="O328" s="220"/>
      <c r="P328" s="220"/>
      <c r="Q328" s="220"/>
      <c r="R328" s="220"/>
      <c r="S328" s="220"/>
      <c r="T328" s="220"/>
      <c r="U328" s="220"/>
      <c r="V328" s="220"/>
      <c r="W328" s="220"/>
      <c r="X328" s="220"/>
      <c r="Y328" s="220"/>
      <c r="Z328" s="220"/>
      <c r="AA328" s="220"/>
      <c r="AB328" s="220"/>
      <c r="AC328" s="220"/>
      <c r="AD328" s="220"/>
      <c r="AE328" s="220"/>
      <c r="AF328" s="220"/>
      <c r="AG328" s="220"/>
      <c r="AH328" s="220"/>
      <c r="AI328" s="220"/>
      <c r="AJ328" s="220"/>
      <c r="AK328" s="220"/>
      <c r="AL328" s="220"/>
      <c r="AM328" s="220"/>
      <c r="AN328" s="220"/>
      <c r="AO328" s="220"/>
      <c r="AP328" s="220"/>
      <c r="AQ328" s="220"/>
      <c r="AR328" s="220"/>
      <c r="AS328" s="220"/>
      <c r="AT328" s="220"/>
      <c r="AU328" s="220"/>
      <c r="AV328" s="220"/>
      <c r="AW328" s="220"/>
      <c r="AX328" s="220"/>
      <c r="AY328" s="220"/>
      <c r="AZ328" s="220"/>
      <c r="BA328" s="220"/>
      <c r="BB328" s="220"/>
      <c r="BC328" s="220"/>
      <c r="BD328" s="220"/>
      <c r="BE328" s="221"/>
    </row>
    <row r="329" spans="2:58" x14ac:dyDescent="0.25">
      <c r="B329" s="222"/>
      <c r="C329" s="384" t="s">
        <v>67</v>
      </c>
      <c r="D329" s="220"/>
      <c r="E329" s="220"/>
      <c r="F329" s="220"/>
      <c r="G329" s="236"/>
      <c r="H329" s="236"/>
      <c r="I329" s="236"/>
      <c r="J329" s="236"/>
      <c r="K329" s="236"/>
      <c r="L329" s="236"/>
      <c r="M329" s="236"/>
      <c r="N329" s="236"/>
      <c r="O329" s="236"/>
      <c r="P329" s="236"/>
      <c r="Q329" s="236"/>
      <c r="R329" s="236"/>
      <c r="S329" s="236"/>
      <c r="T329" s="236"/>
      <c r="U329" s="236"/>
      <c r="V329" s="236"/>
      <c r="W329" s="236"/>
      <c r="X329" s="236"/>
      <c r="Y329" s="236"/>
      <c r="Z329" s="236"/>
      <c r="AA329" s="236"/>
      <c r="AB329" s="236"/>
      <c r="AC329" s="236"/>
      <c r="AD329" s="236"/>
      <c r="AE329" s="236"/>
      <c r="AF329" s="236"/>
      <c r="AG329" s="236"/>
      <c r="AH329" s="236"/>
      <c r="AI329" s="236"/>
      <c r="AJ329" s="236"/>
      <c r="AK329" s="236"/>
      <c r="AL329" s="236"/>
      <c r="AM329" s="236"/>
      <c r="AN329" s="236"/>
      <c r="AO329" s="236"/>
      <c r="AP329" s="236"/>
      <c r="AQ329" s="236"/>
      <c r="AR329" s="236"/>
      <c r="AS329" s="236"/>
      <c r="AT329" s="236"/>
      <c r="AU329" s="236"/>
      <c r="AV329" s="236"/>
      <c r="AW329" s="236"/>
      <c r="AX329" s="236"/>
      <c r="AY329" s="236"/>
      <c r="AZ329" s="236"/>
      <c r="BA329" s="236"/>
      <c r="BB329" s="236"/>
      <c r="BC329" s="236"/>
      <c r="BD329" s="236"/>
      <c r="BE329" s="1288"/>
      <c r="BF329" s="249"/>
    </row>
    <row r="330" spans="2:58" x14ac:dyDescent="0.25">
      <c r="B330" s="222"/>
      <c r="C330" s="220" t="s">
        <v>73</v>
      </c>
      <c r="D330" s="220"/>
      <c r="E330" s="220"/>
      <c r="F330" s="220"/>
      <c r="G330" s="236"/>
      <c r="H330" s="236">
        <f>IF(H$299&gt;$G$324,0,IPMT($G$325,H$299,$G$324,-$G$323))</f>
        <v>0</v>
      </c>
      <c r="I330" s="236">
        <f t="shared" ref="I330:BE330" si="111">IF(I$299&gt;$G$324,0,IPMT($G$325,I$299,$G$324,-$G$323))</f>
        <v>0</v>
      </c>
      <c r="J330" s="236">
        <f t="shared" si="111"/>
        <v>0</v>
      </c>
      <c r="K330" s="236">
        <f t="shared" si="111"/>
        <v>0</v>
      </c>
      <c r="L330" s="236">
        <f t="shared" si="111"/>
        <v>0</v>
      </c>
      <c r="M330" s="236">
        <f t="shared" si="111"/>
        <v>0</v>
      </c>
      <c r="N330" s="236">
        <f t="shared" si="111"/>
        <v>0</v>
      </c>
      <c r="O330" s="236">
        <f t="shared" si="111"/>
        <v>0</v>
      </c>
      <c r="P330" s="236">
        <f t="shared" si="111"/>
        <v>0</v>
      </c>
      <c r="Q330" s="236">
        <f t="shared" si="111"/>
        <v>0</v>
      </c>
      <c r="R330" s="236">
        <f t="shared" si="111"/>
        <v>0</v>
      </c>
      <c r="S330" s="236">
        <f t="shared" si="111"/>
        <v>0</v>
      </c>
      <c r="T330" s="236">
        <f t="shared" si="111"/>
        <v>0</v>
      </c>
      <c r="U330" s="236">
        <f t="shared" si="111"/>
        <v>0</v>
      </c>
      <c r="V330" s="236">
        <f t="shared" si="111"/>
        <v>0</v>
      </c>
      <c r="W330" s="236">
        <f t="shared" si="111"/>
        <v>0</v>
      </c>
      <c r="X330" s="236">
        <f t="shared" si="111"/>
        <v>0</v>
      </c>
      <c r="Y330" s="236">
        <f t="shared" si="111"/>
        <v>0</v>
      </c>
      <c r="Z330" s="236">
        <f t="shared" si="111"/>
        <v>0</v>
      </c>
      <c r="AA330" s="236">
        <f t="shared" si="111"/>
        <v>0</v>
      </c>
      <c r="AB330" s="236">
        <f t="shared" si="111"/>
        <v>0</v>
      </c>
      <c r="AC330" s="236">
        <f t="shared" si="111"/>
        <v>0</v>
      </c>
      <c r="AD330" s="236">
        <f t="shared" si="111"/>
        <v>0</v>
      </c>
      <c r="AE330" s="236">
        <f t="shared" si="111"/>
        <v>0</v>
      </c>
      <c r="AF330" s="236">
        <f t="shared" si="111"/>
        <v>0</v>
      </c>
      <c r="AG330" s="236">
        <f t="shared" si="111"/>
        <v>0</v>
      </c>
      <c r="AH330" s="236">
        <f t="shared" si="111"/>
        <v>0</v>
      </c>
      <c r="AI330" s="236">
        <f t="shared" si="111"/>
        <v>0</v>
      </c>
      <c r="AJ330" s="236">
        <f t="shared" si="111"/>
        <v>0</v>
      </c>
      <c r="AK330" s="236">
        <f t="shared" si="111"/>
        <v>0</v>
      </c>
      <c r="AL330" s="236">
        <f t="shared" si="111"/>
        <v>0</v>
      </c>
      <c r="AM330" s="236">
        <f t="shared" si="111"/>
        <v>0</v>
      </c>
      <c r="AN330" s="236">
        <f t="shared" si="111"/>
        <v>0</v>
      </c>
      <c r="AO330" s="236">
        <f t="shared" si="111"/>
        <v>0</v>
      </c>
      <c r="AP330" s="236">
        <f t="shared" si="111"/>
        <v>0</v>
      </c>
      <c r="AQ330" s="236">
        <f t="shared" si="111"/>
        <v>0</v>
      </c>
      <c r="AR330" s="236">
        <f t="shared" si="111"/>
        <v>0</v>
      </c>
      <c r="AS330" s="236">
        <f t="shared" si="111"/>
        <v>0</v>
      </c>
      <c r="AT330" s="236">
        <f t="shared" si="111"/>
        <v>0</v>
      </c>
      <c r="AU330" s="236">
        <f t="shared" si="111"/>
        <v>0</v>
      </c>
      <c r="AV330" s="236">
        <f t="shared" si="111"/>
        <v>0</v>
      </c>
      <c r="AW330" s="236">
        <f t="shared" si="111"/>
        <v>0</v>
      </c>
      <c r="AX330" s="236">
        <f t="shared" si="111"/>
        <v>0</v>
      </c>
      <c r="AY330" s="236">
        <f t="shared" si="111"/>
        <v>0</v>
      </c>
      <c r="AZ330" s="236">
        <f t="shared" si="111"/>
        <v>0</v>
      </c>
      <c r="BA330" s="236">
        <f t="shared" si="111"/>
        <v>0</v>
      </c>
      <c r="BB330" s="236">
        <f t="shared" si="111"/>
        <v>0</v>
      </c>
      <c r="BC330" s="236">
        <f t="shared" si="111"/>
        <v>0</v>
      </c>
      <c r="BD330" s="236">
        <f t="shared" si="111"/>
        <v>0</v>
      </c>
      <c r="BE330" s="1288">
        <f t="shared" si="111"/>
        <v>0</v>
      </c>
      <c r="BF330" s="249"/>
    </row>
    <row r="331" spans="2:58" x14ac:dyDescent="0.25">
      <c r="B331" s="222"/>
      <c r="C331" s="228" t="s">
        <v>72</v>
      </c>
      <c r="D331" s="228"/>
      <c r="E331" s="228"/>
      <c r="F331" s="228"/>
      <c r="G331" s="238"/>
      <c r="H331" s="238">
        <f>IF(H$299&gt;$G$324,0,PPMT($G$325,H$299,$G$324,-$G$323))</f>
        <v>0</v>
      </c>
      <c r="I331" s="238">
        <f t="shared" ref="I331:BE331" si="112">IF(I$299&gt;$G$324,0,PPMT($G$325,I$299,$G$324,-$G$323))</f>
        <v>0</v>
      </c>
      <c r="J331" s="238">
        <f t="shared" si="112"/>
        <v>0</v>
      </c>
      <c r="K331" s="238">
        <f t="shared" si="112"/>
        <v>0</v>
      </c>
      <c r="L331" s="238">
        <f t="shared" si="112"/>
        <v>0</v>
      </c>
      <c r="M331" s="238">
        <f t="shared" si="112"/>
        <v>0</v>
      </c>
      <c r="N331" s="238">
        <f t="shared" si="112"/>
        <v>0</v>
      </c>
      <c r="O331" s="238">
        <f t="shared" si="112"/>
        <v>0</v>
      </c>
      <c r="P331" s="238">
        <f t="shared" si="112"/>
        <v>0</v>
      </c>
      <c r="Q331" s="238">
        <f t="shared" si="112"/>
        <v>0</v>
      </c>
      <c r="R331" s="238">
        <f t="shared" si="112"/>
        <v>0</v>
      </c>
      <c r="S331" s="238">
        <f t="shared" si="112"/>
        <v>0</v>
      </c>
      <c r="T331" s="238">
        <f t="shared" si="112"/>
        <v>0</v>
      </c>
      <c r="U331" s="238">
        <f t="shared" si="112"/>
        <v>0</v>
      </c>
      <c r="V331" s="238">
        <f t="shared" si="112"/>
        <v>0</v>
      </c>
      <c r="W331" s="238">
        <f t="shared" si="112"/>
        <v>0</v>
      </c>
      <c r="X331" s="238">
        <f t="shared" si="112"/>
        <v>0</v>
      </c>
      <c r="Y331" s="238">
        <f t="shared" si="112"/>
        <v>0</v>
      </c>
      <c r="Z331" s="238">
        <f t="shared" si="112"/>
        <v>0</v>
      </c>
      <c r="AA331" s="238">
        <f t="shared" si="112"/>
        <v>0</v>
      </c>
      <c r="AB331" s="238">
        <f t="shared" si="112"/>
        <v>0</v>
      </c>
      <c r="AC331" s="238">
        <f t="shared" si="112"/>
        <v>0</v>
      </c>
      <c r="AD331" s="238">
        <f t="shared" si="112"/>
        <v>0</v>
      </c>
      <c r="AE331" s="238">
        <f t="shared" si="112"/>
        <v>0</v>
      </c>
      <c r="AF331" s="238">
        <f t="shared" si="112"/>
        <v>0</v>
      </c>
      <c r="AG331" s="238">
        <f t="shared" si="112"/>
        <v>0</v>
      </c>
      <c r="AH331" s="238">
        <f t="shared" si="112"/>
        <v>0</v>
      </c>
      <c r="AI331" s="238">
        <f t="shared" si="112"/>
        <v>0</v>
      </c>
      <c r="AJ331" s="238">
        <f t="shared" si="112"/>
        <v>0</v>
      </c>
      <c r="AK331" s="238">
        <f t="shared" si="112"/>
        <v>0</v>
      </c>
      <c r="AL331" s="238">
        <f t="shared" si="112"/>
        <v>0</v>
      </c>
      <c r="AM331" s="238">
        <f t="shared" si="112"/>
        <v>0</v>
      </c>
      <c r="AN331" s="238">
        <f t="shared" si="112"/>
        <v>0</v>
      </c>
      <c r="AO331" s="238">
        <f t="shared" si="112"/>
        <v>0</v>
      </c>
      <c r="AP331" s="238">
        <f t="shared" si="112"/>
        <v>0</v>
      </c>
      <c r="AQ331" s="238">
        <f t="shared" si="112"/>
        <v>0</v>
      </c>
      <c r="AR331" s="238">
        <f t="shared" si="112"/>
        <v>0</v>
      </c>
      <c r="AS331" s="238">
        <f t="shared" si="112"/>
        <v>0</v>
      </c>
      <c r="AT331" s="238">
        <f t="shared" si="112"/>
        <v>0</v>
      </c>
      <c r="AU331" s="238">
        <f t="shared" si="112"/>
        <v>0</v>
      </c>
      <c r="AV331" s="238">
        <f t="shared" si="112"/>
        <v>0</v>
      </c>
      <c r="AW331" s="238">
        <f t="shared" si="112"/>
        <v>0</v>
      </c>
      <c r="AX331" s="238">
        <f t="shared" si="112"/>
        <v>0</v>
      </c>
      <c r="AY331" s="238">
        <f t="shared" si="112"/>
        <v>0</v>
      </c>
      <c r="AZ331" s="238">
        <f t="shared" si="112"/>
        <v>0</v>
      </c>
      <c r="BA331" s="238">
        <f t="shared" si="112"/>
        <v>0</v>
      </c>
      <c r="BB331" s="238">
        <f t="shared" si="112"/>
        <v>0</v>
      </c>
      <c r="BC331" s="238">
        <f t="shared" si="112"/>
        <v>0</v>
      </c>
      <c r="BD331" s="238">
        <f t="shared" si="112"/>
        <v>0</v>
      </c>
      <c r="BE331" s="1289">
        <f t="shared" si="112"/>
        <v>0</v>
      </c>
      <c r="BF331" s="249"/>
    </row>
    <row r="332" spans="2:58" x14ac:dyDescent="0.25">
      <c r="B332" s="222"/>
      <c r="C332" s="220" t="s">
        <v>74</v>
      </c>
      <c r="D332" s="220"/>
      <c r="E332" s="220"/>
      <c r="F332" s="220"/>
      <c r="G332" s="236"/>
      <c r="H332" s="236">
        <f>SUM(H330:H331)</f>
        <v>0</v>
      </c>
      <c r="I332" s="236">
        <f t="shared" ref="I332:W332" si="113">SUM(I330:I331)</f>
        <v>0</v>
      </c>
      <c r="J332" s="236">
        <f t="shared" si="113"/>
        <v>0</v>
      </c>
      <c r="K332" s="236">
        <f t="shared" si="113"/>
        <v>0</v>
      </c>
      <c r="L332" s="236">
        <f t="shared" si="113"/>
        <v>0</v>
      </c>
      <c r="M332" s="236">
        <f t="shared" si="113"/>
        <v>0</v>
      </c>
      <c r="N332" s="236">
        <f t="shared" si="113"/>
        <v>0</v>
      </c>
      <c r="O332" s="236">
        <f t="shared" si="113"/>
        <v>0</v>
      </c>
      <c r="P332" s="236">
        <f t="shared" si="113"/>
        <v>0</v>
      </c>
      <c r="Q332" s="236">
        <f t="shared" si="113"/>
        <v>0</v>
      </c>
      <c r="R332" s="236">
        <f t="shared" si="113"/>
        <v>0</v>
      </c>
      <c r="S332" s="236">
        <f t="shared" si="113"/>
        <v>0</v>
      </c>
      <c r="T332" s="236">
        <f t="shared" si="113"/>
        <v>0</v>
      </c>
      <c r="U332" s="236">
        <f t="shared" si="113"/>
        <v>0</v>
      </c>
      <c r="V332" s="236">
        <f t="shared" si="113"/>
        <v>0</v>
      </c>
      <c r="W332" s="236">
        <f t="shared" si="113"/>
        <v>0</v>
      </c>
      <c r="X332" s="236">
        <f t="shared" ref="X332:BE332" si="114">SUM(X330:X331)</f>
        <v>0</v>
      </c>
      <c r="Y332" s="236">
        <f t="shared" si="114"/>
        <v>0</v>
      </c>
      <c r="Z332" s="236">
        <f t="shared" si="114"/>
        <v>0</v>
      </c>
      <c r="AA332" s="236">
        <f t="shared" si="114"/>
        <v>0</v>
      </c>
      <c r="AB332" s="236">
        <f t="shared" si="114"/>
        <v>0</v>
      </c>
      <c r="AC332" s="236">
        <f t="shared" si="114"/>
        <v>0</v>
      </c>
      <c r="AD332" s="236">
        <f t="shared" si="114"/>
        <v>0</v>
      </c>
      <c r="AE332" s="236">
        <f t="shared" si="114"/>
        <v>0</v>
      </c>
      <c r="AF332" s="236">
        <f t="shared" si="114"/>
        <v>0</v>
      </c>
      <c r="AG332" s="236">
        <f t="shared" si="114"/>
        <v>0</v>
      </c>
      <c r="AH332" s="236">
        <f t="shared" si="114"/>
        <v>0</v>
      </c>
      <c r="AI332" s="236">
        <f t="shared" si="114"/>
        <v>0</v>
      </c>
      <c r="AJ332" s="236">
        <f t="shared" si="114"/>
        <v>0</v>
      </c>
      <c r="AK332" s="236">
        <f t="shared" si="114"/>
        <v>0</v>
      </c>
      <c r="AL332" s="236">
        <f t="shared" si="114"/>
        <v>0</v>
      </c>
      <c r="AM332" s="236">
        <f t="shared" si="114"/>
        <v>0</v>
      </c>
      <c r="AN332" s="236">
        <f t="shared" si="114"/>
        <v>0</v>
      </c>
      <c r="AO332" s="236">
        <f t="shared" si="114"/>
        <v>0</v>
      </c>
      <c r="AP332" s="236">
        <f t="shared" si="114"/>
        <v>0</v>
      </c>
      <c r="AQ332" s="236">
        <f t="shared" si="114"/>
        <v>0</v>
      </c>
      <c r="AR332" s="236">
        <f t="shared" si="114"/>
        <v>0</v>
      </c>
      <c r="AS332" s="236">
        <f t="shared" si="114"/>
        <v>0</v>
      </c>
      <c r="AT332" s="236">
        <f t="shared" si="114"/>
        <v>0</v>
      </c>
      <c r="AU332" s="236">
        <f t="shared" si="114"/>
        <v>0</v>
      </c>
      <c r="AV332" s="236">
        <f t="shared" si="114"/>
        <v>0</v>
      </c>
      <c r="AW332" s="236">
        <f t="shared" si="114"/>
        <v>0</v>
      </c>
      <c r="AX332" s="236">
        <f t="shared" si="114"/>
        <v>0</v>
      </c>
      <c r="AY332" s="236">
        <f t="shared" si="114"/>
        <v>0</v>
      </c>
      <c r="AZ332" s="236">
        <f t="shared" si="114"/>
        <v>0</v>
      </c>
      <c r="BA332" s="236">
        <f t="shared" si="114"/>
        <v>0</v>
      </c>
      <c r="BB332" s="236">
        <f t="shared" si="114"/>
        <v>0</v>
      </c>
      <c r="BC332" s="236">
        <f t="shared" si="114"/>
        <v>0</v>
      </c>
      <c r="BD332" s="236">
        <f t="shared" si="114"/>
        <v>0</v>
      </c>
      <c r="BE332" s="1288">
        <f t="shared" si="114"/>
        <v>0</v>
      </c>
      <c r="BF332" s="249"/>
    </row>
    <row r="333" spans="2:58" x14ac:dyDescent="0.25">
      <c r="B333" s="222"/>
      <c r="C333" s="220"/>
      <c r="D333" s="220"/>
      <c r="E333" s="220"/>
      <c r="F333" s="220"/>
      <c r="G333" s="236"/>
      <c r="H333" s="236"/>
      <c r="I333" s="236"/>
      <c r="J333" s="236"/>
      <c r="K333" s="236"/>
      <c r="L333" s="236"/>
      <c r="M333" s="236"/>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236"/>
      <c r="AL333" s="236"/>
      <c r="AM333" s="236"/>
      <c r="AN333" s="236"/>
      <c r="AO333" s="236"/>
      <c r="AP333" s="236"/>
      <c r="AQ333" s="236"/>
      <c r="AR333" s="236"/>
      <c r="AS333" s="236"/>
      <c r="AT333" s="236"/>
      <c r="AU333" s="236"/>
      <c r="AV333" s="236"/>
      <c r="AW333" s="236"/>
      <c r="AX333" s="236"/>
      <c r="AY333" s="236"/>
      <c r="AZ333" s="236"/>
      <c r="BA333" s="236"/>
      <c r="BB333" s="236"/>
      <c r="BC333" s="236"/>
      <c r="BD333" s="236"/>
      <c r="BE333" s="1288"/>
      <c r="BF333" s="249"/>
    </row>
    <row r="334" spans="2:58" x14ac:dyDescent="0.25">
      <c r="B334" s="222"/>
      <c r="C334" s="385" t="s">
        <v>65</v>
      </c>
      <c r="D334" s="220"/>
      <c r="E334" s="220"/>
      <c r="F334" s="220"/>
      <c r="G334" s="236"/>
      <c r="H334" s="236"/>
      <c r="I334" s="236"/>
      <c r="J334" s="236"/>
      <c r="K334" s="236"/>
      <c r="L334" s="236"/>
      <c r="M334" s="236"/>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236"/>
      <c r="AL334" s="236"/>
      <c r="AM334" s="236"/>
      <c r="AN334" s="236"/>
      <c r="AO334" s="236"/>
      <c r="AP334" s="236"/>
      <c r="AQ334" s="236"/>
      <c r="AR334" s="236"/>
      <c r="AS334" s="236"/>
      <c r="AT334" s="236"/>
      <c r="AU334" s="236"/>
      <c r="AV334" s="236"/>
      <c r="AW334" s="236"/>
      <c r="AX334" s="236"/>
      <c r="AY334" s="236"/>
      <c r="AZ334" s="236"/>
      <c r="BA334" s="236"/>
      <c r="BB334" s="236"/>
      <c r="BC334" s="236"/>
      <c r="BD334" s="236"/>
      <c r="BE334" s="1288"/>
      <c r="BF334" s="249"/>
    </row>
    <row r="335" spans="2:58" x14ac:dyDescent="0.25">
      <c r="B335" s="222"/>
      <c r="C335" s="220" t="s">
        <v>75</v>
      </c>
      <c r="D335" s="220"/>
      <c r="E335" s="220"/>
      <c r="F335" s="220"/>
      <c r="G335" s="236">
        <v>0</v>
      </c>
      <c r="H335" s="236">
        <f>G338</f>
        <v>0</v>
      </c>
      <c r="I335" s="236">
        <f t="shared" ref="I335:W335" si="115">H338</f>
        <v>0</v>
      </c>
      <c r="J335" s="236">
        <f t="shared" si="115"/>
        <v>0</v>
      </c>
      <c r="K335" s="236">
        <f t="shared" si="115"/>
        <v>0</v>
      </c>
      <c r="L335" s="236">
        <f t="shared" si="115"/>
        <v>0</v>
      </c>
      <c r="M335" s="236">
        <f t="shared" si="115"/>
        <v>0</v>
      </c>
      <c r="N335" s="236">
        <f t="shared" si="115"/>
        <v>0</v>
      </c>
      <c r="O335" s="236">
        <f t="shared" si="115"/>
        <v>0</v>
      </c>
      <c r="P335" s="236">
        <f t="shared" si="115"/>
        <v>0</v>
      </c>
      <c r="Q335" s="236">
        <f t="shared" si="115"/>
        <v>0</v>
      </c>
      <c r="R335" s="236">
        <f t="shared" si="115"/>
        <v>0</v>
      </c>
      <c r="S335" s="236">
        <f t="shared" si="115"/>
        <v>0</v>
      </c>
      <c r="T335" s="236">
        <f t="shared" si="115"/>
        <v>0</v>
      </c>
      <c r="U335" s="236">
        <f t="shared" si="115"/>
        <v>0</v>
      </c>
      <c r="V335" s="236">
        <f t="shared" si="115"/>
        <v>0</v>
      </c>
      <c r="W335" s="236">
        <f t="shared" si="115"/>
        <v>0</v>
      </c>
      <c r="X335" s="236">
        <f t="shared" ref="X335:BE335" si="116">W338</f>
        <v>0</v>
      </c>
      <c r="Y335" s="236">
        <f t="shared" si="116"/>
        <v>0</v>
      </c>
      <c r="Z335" s="236">
        <f t="shared" si="116"/>
        <v>0</v>
      </c>
      <c r="AA335" s="236">
        <f t="shared" si="116"/>
        <v>0</v>
      </c>
      <c r="AB335" s="236">
        <f t="shared" si="116"/>
        <v>0</v>
      </c>
      <c r="AC335" s="236">
        <f t="shared" si="116"/>
        <v>0</v>
      </c>
      <c r="AD335" s="236">
        <f t="shared" si="116"/>
        <v>0</v>
      </c>
      <c r="AE335" s="236">
        <f t="shared" si="116"/>
        <v>0</v>
      </c>
      <c r="AF335" s="236">
        <f t="shared" si="116"/>
        <v>0</v>
      </c>
      <c r="AG335" s="236">
        <f t="shared" si="116"/>
        <v>0</v>
      </c>
      <c r="AH335" s="236">
        <f t="shared" si="116"/>
        <v>0</v>
      </c>
      <c r="AI335" s="236">
        <f t="shared" si="116"/>
        <v>0</v>
      </c>
      <c r="AJ335" s="236">
        <f t="shared" si="116"/>
        <v>0</v>
      </c>
      <c r="AK335" s="236">
        <f t="shared" si="116"/>
        <v>0</v>
      </c>
      <c r="AL335" s="236">
        <f t="shared" si="116"/>
        <v>0</v>
      </c>
      <c r="AM335" s="236">
        <f t="shared" si="116"/>
        <v>0</v>
      </c>
      <c r="AN335" s="236">
        <f t="shared" si="116"/>
        <v>0</v>
      </c>
      <c r="AO335" s="236">
        <f t="shared" si="116"/>
        <v>0</v>
      </c>
      <c r="AP335" s="236">
        <f t="shared" si="116"/>
        <v>0</v>
      </c>
      <c r="AQ335" s="236">
        <f t="shared" si="116"/>
        <v>0</v>
      </c>
      <c r="AR335" s="236">
        <f t="shared" si="116"/>
        <v>0</v>
      </c>
      <c r="AS335" s="236">
        <f t="shared" si="116"/>
        <v>0</v>
      </c>
      <c r="AT335" s="236">
        <f t="shared" si="116"/>
        <v>0</v>
      </c>
      <c r="AU335" s="236">
        <f t="shared" si="116"/>
        <v>0</v>
      </c>
      <c r="AV335" s="236">
        <f t="shared" si="116"/>
        <v>0</v>
      </c>
      <c r="AW335" s="236">
        <f t="shared" si="116"/>
        <v>0</v>
      </c>
      <c r="AX335" s="236">
        <f t="shared" si="116"/>
        <v>0</v>
      </c>
      <c r="AY335" s="236">
        <f t="shared" si="116"/>
        <v>0</v>
      </c>
      <c r="AZ335" s="236">
        <f t="shared" si="116"/>
        <v>0</v>
      </c>
      <c r="BA335" s="236">
        <f t="shared" si="116"/>
        <v>0</v>
      </c>
      <c r="BB335" s="236">
        <f t="shared" si="116"/>
        <v>0</v>
      </c>
      <c r="BC335" s="236">
        <f t="shared" si="116"/>
        <v>0</v>
      </c>
      <c r="BD335" s="236">
        <f t="shared" si="116"/>
        <v>0</v>
      </c>
      <c r="BE335" s="1288">
        <f t="shared" si="116"/>
        <v>0</v>
      </c>
      <c r="BF335" s="249"/>
    </row>
    <row r="336" spans="2:58" x14ac:dyDescent="0.25">
      <c r="B336" s="222"/>
      <c r="C336" s="220" t="s">
        <v>76</v>
      </c>
      <c r="D336" s="220"/>
      <c r="E336" s="220"/>
      <c r="F336" s="220"/>
      <c r="G336" s="236">
        <f>G323</f>
        <v>0</v>
      </c>
      <c r="H336" s="236">
        <v>0</v>
      </c>
      <c r="I336" s="236">
        <v>0</v>
      </c>
      <c r="J336" s="236">
        <v>0</v>
      </c>
      <c r="K336" s="236">
        <v>0</v>
      </c>
      <c r="L336" s="236">
        <v>0</v>
      </c>
      <c r="M336" s="236">
        <v>0</v>
      </c>
      <c r="N336" s="236">
        <v>0</v>
      </c>
      <c r="O336" s="236">
        <v>0</v>
      </c>
      <c r="P336" s="236">
        <v>0</v>
      </c>
      <c r="Q336" s="236">
        <v>0</v>
      </c>
      <c r="R336" s="236">
        <v>0</v>
      </c>
      <c r="S336" s="236">
        <v>0</v>
      </c>
      <c r="T336" s="236">
        <v>0</v>
      </c>
      <c r="U336" s="236">
        <v>0</v>
      </c>
      <c r="V336" s="236">
        <v>0</v>
      </c>
      <c r="W336" s="236">
        <v>0</v>
      </c>
      <c r="X336" s="236">
        <v>0</v>
      </c>
      <c r="Y336" s="236">
        <v>0</v>
      </c>
      <c r="Z336" s="236">
        <v>0</v>
      </c>
      <c r="AA336" s="236">
        <v>0</v>
      </c>
      <c r="AB336" s="236">
        <v>0</v>
      </c>
      <c r="AC336" s="236">
        <v>0</v>
      </c>
      <c r="AD336" s="236">
        <v>0</v>
      </c>
      <c r="AE336" s="236">
        <v>0</v>
      </c>
      <c r="AF336" s="236">
        <v>0</v>
      </c>
      <c r="AG336" s="236">
        <v>0</v>
      </c>
      <c r="AH336" s="236">
        <v>0</v>
      </c>
      <c r="AI336" s="236">
        <v>0</v>
      </c>
      <c r="AJ336" s="236">
        <v>0</v>
      </c>
      <c r="AK336" s="236">
        <v>0</v>
      </c>
      <c r="AL336" s="236">
        <v>0</v>
      </c>
      <c r="AM336" s="236">
        <v>0</v>
      </c>
      <c r="AN336" s="236">
        <v>0</v>
      </c>
      <c r="AO336" s="236">
        <v>0</v>
      </c>
      <c r="AP336" s="236">
        <v>0</v>
      </c>
      <c r="AQ336" s="236">
        <v>0</v>
      </c>
      <c r="AR336" s="236">
        <v>0</v>
      </c>
      <c r="AS336" s="236">
        <v>0</v>
      </c>
      <c r="AT336" s="236">
        <v>0</v>
      </c>
      <c r="AU336" s="236">
        <v>0</v>
      </c>
      <c r="AV336" s="236">
        <v>0</v>
      </c>
      <c r="AW336" s="236">
        <v>0</v>
      </c>
      <c r="AX336" s="236">
        <v>0</v>
      </c>
      <c r="AY336" s="236">
        <v>0</v>
      </c>
      <c r="AZ336" s="236">
        <v>0</v>
      </c>
      <c r="BA336" s="236">
        <v>0</v>
      </c>
      <c r="BB336" s="236">
        <v>0</v>
      </c>
      <c r="BC336" s="236">
        <v>0</v>
      </c>
      <c r="BD336" s="236">
        <v>0</v>
      </c>
      <c r="BE336" s="1288">
        <v>0</v>
      </c>
      <c r="BF336" s="249"/>
    </row>
    <row r="337" spans="2:58" x14ac:dyDescent="0.25">
      <c r="B337" s="222"/>
      <c r="C337" s="228" t="s">
        <v>77</v>
      </c>
      <c r="D337" s="228"/>
      <c r="E337" s="228"/>
      <c r="F337" s="228"/>
      <c r="G337" s="238">
        <v>0</v>
      </c>
      <c r="H337" s="238">
        <f>-H331</f>
        <v>0</v>
      </c>
      <c r="I337" s="238">
        <f t="shared" ref="I337:W337" si="117">-I331</f>
        <v>0</v>
      </c>
      <c r="J337" s="238">
        <f t="shared" si="117"/>
        <v>0</v>
      </c>
      <c r="K337" s="238">
        <f t="shared" si="117"/>
        <v>0</v>
      </c>
      <c r="L337" s="238">
        <f t="shared" si="117"/>
        <v>0</v>
      </c>
      <c r="M337" s="238">
        <f t="shared" si="117"/>
        <v>0</v>
      </c>
      <c r="N337" s="238">
        <f t="shared" si="117"/>
        <v>0</v>
      </c>
      <c r="O337" s="238">
        <f t="shared" si="117"/>
        <v>0</v>
      </c>
      <c r="P337" s="238">
        <f t="shared" si="117"/>
        <v>0</v>
      </c>
      <c r="Q337" s="238">
        <f t="shared" si="117"/>
        <v>0</v>
      </c>
      <c r="R337" s="238">
        <f t="shared" si="117"/>
        <v>0</v>
      </c>
      <c r="S337" s="238">
        <f t="shared" si="117"/>
        <v>0</v>
      </c>
      <c r="T337" s="238">
        <f t="shared" si="117"/>
        <v>0</v>
      </c>
      <c r="U337" s="238">
        <f t="shared" si="117"/>
        <v>0</v>
      </c>
      <c r="V337" s="238">
        <f t="shared" si="117"/>
        <v>0</v>
      </c>
      <c r="W337" s="238">
        <f t="shared" si="117"/>
        <v>0</v>
      </c>
      <c r="X337" s="238">
        <f t="shared" ref="X337:BE337" si="118">-X331</f>
        <v>0</v>
      </c>
      <c r="Y337" s="238">
        <f t="shared" si="118"/>
        <v>0</v>
      </c>
      <c r="Z337" s="238">
        <f t="shared" si="118"/>
        <v>0</v>
      </c>
      <c r="AA337" s="238">
        <f t="shared" si="118"/>
        <v>0</v>
      </c>
      <c r="AB337" s="238">
        <f t="shared" si="118"/>
        <v>0</v>
      </c>
      <c r="AC337" s="238">
        <f t="shared" si="118"/>
        <v>0</v>
      </c>
      <c r="AD337" s="238">
        <f t="shared" si="118"/>
        <v>0</v>
      </c>
      <c r="AE337" s="238">
        <f t="shared" si="118"/>
        <v>0</v>
      </c>
      <c r="AF337" s="238">
        <f t="shared" si="118"/>
        <v>0</v>
      </c>
      <c r="AG337" s="238">
        <f t="shared" si="118"/>
        <v>0</v>
      </c>
      <c r="AH337" s="238">
        <f t="shared" si="118"/>
        <v>0</v>
      </c>
      <c r="AI337" s="238">
        <f t="shared" si="118"/>
        <v>0</v>
      </c>
      <c r="AJ337" s="238">
        <f t="shared" si="118"/>
        <v>0</v>
      </c>
      <c r="AK337" s="238">
        <f t="shared" si="118"/>
        <v>0</v>
      </c>
      <c r="AL337" s="238">
        <f t="shared" si="118"/>
        <v>0</v>
      </c>
      <c r="AM337" s="238">
        <f t="shared" si="118"/>
        <v>0</v>
      </c>
      <c r="AN337" s="238">
        <f t="shared" si="118"/>
        <v>0</v>
      </c>
      <c r="AO337" s="238">
        <f t="shared" si="118"/>
        <v>0</v>
      </c>
      <c r="AP337" s="238">
        <f t="shared" si="118"/>
        <v>0</v>
      </c>
      <c r="AQ337" s="238">
        <f t="shared" si="118"/>
        <v>0</v>
      </c>
      <c r="AR337" s="238">
        <f t="shared" si="118"/>
        <v>0</v>
      </c>
      <c r="AS337" s="238">
        <f t="shared" si="118"/>
        <v>0</v>
      </c>
      <c r="AT337" s="238">
        <f t="shared" si="118"/>
        <v>0</v>
      </c>
      <c r="AU337" s="238">
        <f t="shared" si="118"/>
        <v>0</v>
      </c>
      <c r="AV337" s="238">
        <f t="shared" si="118"/>
        <v>0</v>
      </c>
      <c r="AW337" s="238">
        <f t="shared" si="118"/>
        <v>0</v>
      </c>
      <c r="AX337" s="238">
        <f t="shared" si="118"/>
        <v>0</v>
      </c>
      <c r="AY337" s="238">
        <f t="shared" si="118"/>
        <v>0</v>
      </c>
      <c r="AZ337" s="238">
        <f t="shared" si="118"/>
        <v>0</v>
      </c>
      <c r="BA337" s="238">
        <f t="shared" si="118"/>
        <v>0</v>
      </c>
      <c r="BB337" s="238">
        <f t="shared" si="118"/>
        <v>0</v>
      </c>
      <c r="BC337" s="238">
        <f t="shared" si="118"/>
        <v>0</v>
      </c>
      <c r="BD337" s="238">
        <f t="shared" si="118"/>
        <v>0</v>
      </c>
      <c r="BE337" s="1289">
        <f t="shared" si="118"/>
        <v>0</v>
      </c>
      <c r="BF337" s="249"/>
    </row>
    <row r="338" spans="2:58" x14ac:dyDescent="0.25">
      <c r="B338" s="222"/>
      <c r="C338" s="220" t="s">
        <v>66</v>
      </c>
      <c r="D338" s="220"/>
      <c r="E338" s="220"/>
      <c r="F338" s="220"/>
      <c r="G338" s="236">
        <f>SUM(G335:G337)</f>
        <v>0</v>
      </c>
      <c r="H338" s="236">
        <f>SUM(H335:H337)</f>
        <v>0</v>
      </c>
      <c r="I338" s="236">
        <f t="shared" ref="I338:W338" si="119">SUM(I335:I337)</f>
        <v>0</v>
      </c>
      <c r="J338" s="236">
        <f t="shared" si="119"/>
        <v>0</v>
      </c>
      <c r="K338" s="236">
        <f t="shared" si="119"/>
        <v>0</v>
      </c>
      <c r="L338" s="236">
        <f t="shared" si="119"/>
        <v>0</v>
      </c>
      <c r="M338" s="236">
        <f t="shared" si="119"/>
        <v>0</v>
      </c>
      <c r="N338" s="236">
        <f t="shared" si="119"/>
        <v>0</v>
      </c>
      <c r="O338" s="236">
        <f t="shared" si="119"/>
        <v>0</v>
      </c>
      <c r="P338" s="236">
        <f t="shared" si="119"/>
        <v>0</v>
      </c>
      <c r="Q338" s="236">
        <f t="shared" si="119"/>
        <v>0</v>
      </c>
      <c r="R338" s="236">
        <f t="shared" si="119"/>
        <v>0</v>
      </c>
      <c r="S338" s="236">
        <f t="shared" si="119"/>
        <v>0</v>
      </c>
      <c r="T338" s="236">
        <f t="shared" si="119"/>
        <v>0</v>
      </c>
      <c r="U338" s="236">
        <f t="shared" si="119"/>
        <v>0</v>
      </c>
      <c r="V338" s="236">
        <f t="shared" si="119"/>
        <v>0</v>
      </c>
      <c r="W338" s="236">
        <f t="shared" si="119"/>
        <v>0</v>
      </c>
      <c r="X338" s="236">
        <f t="shared" ref="X338:BE338" si="120">SUM(X335:X337)</f>
        <v>0</v>
      </c>
      <c r="Y338" s="236">
        <f t="shared" si="120"/>
        <v>0</v>
      </c>
      <c r="Z338" s="236">
        <f t="shared" si="120"/>
        <v>0</v>
      </c>
      <c r="AA338" s="236">
        <f t="shared" si="120"/>
        <v>0</v>
      </c>
      <c r="AB338" s="236">
        <f t="shared" si="120"/>
        <v>0</v>
      </c>
      <c r="AC338" s="236">
        <f t="shared" si="120"/>
        <v>0</v>
      </c>
      <c r="AD338" s="236">
        <f t="shared" si="120"/>
        <v>0</v>
      </c>
      <c r="AE338" s="236">
        <f t="shared" si="120"/>
        <v>0</v>
      </c>
      <c r="AF338" s="236">
        <f t="shared" si="120"/>
        <v>0</v>
      </c>
      <c r="AG338" s="236">
        <f t="shared" si="120"/>
        <v>0</v>
      </c>
      <c r="AH338" s="236">
        <f t="shared" si="120"/>
        <v>0</v>
      </c>
      <c r="AI338" s="236">
        <f t="shared" si="120"/>
        <v>0</v>
      </c>
      <c r="AJ338" s="236">
        <f t="shared" si="120"/>
        <v>0</v>
      </c>
      <c r="AK338" s="236">
        <f t="shared" si="120"/>
        <v>0</v>
      </c>
      <c r="AL338" s="236">
        <f t="shared" si="120"/>
        <v>0</v>
      </c>
      <c r="AM338" s="236">
        <f t="shared" si="120"/>
        <v>0</v>
      </c>
      <c r="AN338" s="236">
        <f t="shared" si="120"/>
        <v>0</v>
      </c>
      <c r="AO338" s="236">
        <f t="shared" si="120"/>
        <v>0</v>
      </c>
      <c r="AP338" s="236">
        <f t="shared" si="120"/>
        <v>0</v>
      </c>
      <c r="AQ338" s="236">
        <f t="shared" si="120"/>
        <v>0</v>
      </c>
      <c r="AR338" s="236">
        <f t="shared" si="120"/>
        <v>0</v>
      </c>
      <c r="AS338" s="236">
        <f t="shared" si="120"/>
        <v>0</v>
      </c>
      <c r="AT338" s="236">
        <f t="shared" si="120"/>
        <v>0</v>
      </c>
      <c r="AU338" s="236">
        <f t="shared" si="120"/>
        <v>0</v>
      </c>
      <c r="AV338" s="236">
        <f t="shared" si="120"/>
        <v>0</v>
      </c>
      <c r="AW338" s="236">
        <f t="shared" si="120"/>
        <v>0</v>
      </c>
      <c r="AX338" s="236">
        <f t="shared" si="120"/>
        <v>0</v>
      </c>
      <c r="AY338" s="236">
        <f t="shared" si="120"/>
        <v>0</v>
      </c>
      <c r="AZ338" s="236">
        <f t="shared" si="120"/>
        <v>0</v>
      </c>
      <c r="BA338" s="236">
        <f t="shared" si="120"/>
        <v>0</v>
      </c>
      <c r="BB338" s="236">
        <f t="shared" si="120"/>
        <v>0</v>
      </c>
      <c r="BC338" s="236">
        <f t="shared" si="120"/>
        <v>0</v>
      </c>
      <c r="BD338" s="236">
        <f t="shared" si="120"/>
        <v>0</v>
      </c>
      <c r="BE338" s="1288">
        <f t="shared" si="120"/>
        <v>0</v>
      </c>
      <c r="BF338" s="249"/>
    </row>
    <row r="339" spans="2:58" x14ac:dyDescent="0.25">
      <c r="B339" s="222"/>
      <c r="C339" s="220"/>
      <c r="D339" s="220"/>
      <c r="E339" s="220"/>
      <c r="F339" s="220"/>
      <c r="G339" s="236"/>
      <c r="H339" s="236"/>
      <c r="I339" s="236"/>
      <c r="J339" s="236"/>
      <c r="K339" s="236"/>
      <c r="L339" s="236"/>
      <c r="M339" s="236"/>
      <c r="N339" s="236"/>
      <c r="O339" s="236"/>
      <c r="P339" s="236"/>
      <c r="Q339" s="236"/>
      <c r="R339" s="236"/>
      <c r="S339" s="236"/>
      <c r="T339" s="236"/>
      <c r="U339" s="236"/>
      <c r="V339" s="236"/>
      <c r="W339" s="236"/>
      <c r="X339" s="236"/>
      <c r="Y339" s="236"/>
      <c r="Z339" s="236"/>
      <c r="AA339" s="236"/>
      <c r="AB339" s="236"/>
      <c r="AC339" s="236"/>
      <c r="AD339" s="236"/>
      <c r="AE339" s="236"/>
      <c r="AF339" s="236"/>
      <c r="AG339" s="236"/>
      <c r="AH339" s="236"/>
      <c r="AI339" s="236"/>
      <c r="AJ339" s="236"/>
      <c r="AK339" s="236"/>
      <c r="AL339" s="236"/>
      <c r="AM339" s="236"/>
      <c r="AN339" s="236"/>
      <c r="AO339" s="236"/>
      <c r="AP339" s="236"/>
      <c r="AQ339" s="236"/>
      <c r="AR339" s="236"/>
      <c r="AS339" s="236"/>
      <c r="AT339" s="236"/>
      <c r="AU339" s="236"/>
      <c r="AV339" s="236"/>
      <c r="AW339" s="236"/>
      <c r="AX339" s="236"/>
      <c r="AY339" s="236"/>
      <c r="AZ339" s="236"/>
      <c r="BA339" s="236"/>
      <c r="BB339" s="236"/>
      <c r="BC339" s="236"/>
      <c r="BD339" s="236"/>
      <c r="BE339" s="1288"/>
      <c r="BF339" s="249"/>
    </row>
    <row r="340" spans="2:58" x14ac:dyDescent="0.25">
      <c r="B340" s="222"/>
      <c r="C340" s="385" t="s">
        <v>71</v>
      </c>
      <c r="D340" s="220"/>
      <c r="E340" s="220"/>
      <c r="F340" s="220"/>
      <c r="G340" s="236"/>
      <c r="H340" s="236"/>
      <c r="I340" s="236"/>
      <c r="J340" s="236"/>
      <c r="K340" s="236"/>
      <c r="L340" s="236"/>
      <c r="M340" s="236"/>
      <c r="N340" s="236"/>
      <c r="O340" s="236"/>
      <c r="P340" s="236"/>
      <c r="Q340" s="236"/>
      <c r="R340" s="236"/>
      <c r="S340" s="236"/>
      <c r="T340" s="236"/>
      <c r="U340" s="236"/>
      <c r="V340" s="236"/>
      <c r="W340" s="236"/>
      <c r="X340" s="236"/>
      <c r="Y340" s="236"/>
      <c r="Z340" s="236"/>
      <c r="AA340" s="236"/>
      <c r="AB340" s="236"/>
      <c r="AC340" s="236"/>
      <c r="AD340" s="236"/>
      <c r="AE340" s="236"/>
      <c r="AF340" s="236"/>
      <c r="AG340" s="236"/>
      <c r="AH340" s="236"/>
      <c r="AI340" s="236"/>
      <c r="AJ340" s="236"/>
      <c r="AK340" s="236"/>
      <c r="AL340" s="236"/>
      <c r="AM340" s="236"/>
      <c r="AN340" s="236"/>
      <c r="AO340" s="236"/>
      <c r="AP340" s="236"/>
      <c r="AQ340" s="236"/>
      <c r="AR340" s="236"/>
      <c r="AS340" s="236"/>
      <c r="AT340" s="236"/>
      <c r="AU340" s="236"/>
      <c r="AV340" s="236"/>
      <c r="AW340" s="236"/>
      <c r="AX340" s="236"/>
      <c r="AY340" s="236"/>
      <c r="AZ340" s="236"/>
      <c r="BA340" s="236"/>
      <c r="BB340" s="236"/>
      <c r="BC340" s="236"/>
      <c r="BD340" s="236"/>
      <c r="BE340" s="1288"/>
      <c r="BF340" s="249"/>
    </row>
    <row r="341" spans="2:58" x14ac:dyDescent="0.25">
      <c r="B341" s="222"/>
      <c r="C341" s="220" t="s">
        <v>233</v>
      </c>
      <c r="D341" s="220"/>
      <c r="E341" s="220"/>
      <c r="F341" s="220"/>
      <c r="G341" s="236"/>
      <c r="H341" s="236">
        <f>IF($G$323&gt;0, $G$323*'II. Inputs, Baseline Energy Mix'!$N$74/10000,0)</f>
        <v>0</v>
      </c>
      <c r="I341" s="236">
        <v>0</v>
      </c>
      <c r="J341" s="236">
        <v>0</v>
      </c>
      <c r="K341" s="236">
        <v>0</v>
      </c>
      <c r="L341" s="236">
        <v>0</v>
      </c>
      <c r="M341" s="236">
        <v>0</v>
      </c>
      <c r="N341" s="236">
        <v>0</v>
      </c>
      <c r="O341" s="236">
        <v>0</v>
      </c>
      <c r="P341" s="236">
        <v>0</v>
      </c>
      <c r="Q341" s="236">
        <v>0</v>
      </c>
      <c r="R341" s="236">
        <v>0</v>
      </c>
      <c r="S341" s="236">
        <v>0</v>
      </c>
      <c r="T341" s="236">
        <v>0</v>
      </c>
      <c r="U341" s="236">
        <v>0</v>
      </c>
      <c r="V341" s="236">
        <v>0</v>
      </c>
      <c r="W341" s="236">
        <v>0</v>
      </c>
      <c r="X341" s="236">
        <v>0</v>
      </c>
      <c r="Y341" s="236">
        <v>0</v>
      </c>
      <c r="Z341" s="236">
        <v>0</v>
      </c>
      <c r="AA341" s="236">
        <v>0</v>
      </c>
      <c r="AB341" s="236">
        <v>0</v>
      </c>
      <c r="AC341" s="236">
        <v>0</v>
      </c>
      <c r="AD341" s="236">
        <v>0</v>
      </c>
      <c r="AE341" s="236">
        <v>0</v>
      </c>
      <c r="AF341" s="236">
        <v>0</v>
      </c>
      <c r="AG341" s="236">
        <v>0</v>
      </c>
      <c r="AH341" s="236">
        <v>0</v>
      </c>
      <c r="AI341" s="236">
        <v>0</v>
      </c>
      <c r="AJ341" s="236">
        <v>0</v>
      </c>
      <c r="AK341" s="236">
        <v>0</v>
      </c>
      <c r="AL341" s="236">
        <v>0</v>
      </c>
      <c r="AM341" s="236">
        <v>0</v>
      </c>
      <c r="AN341" s="236">
        <v>0</v>
      </c>
      <c r="AO341" s="236">
        <v>0</v>
      </c>
      <c r="AP341" s="236">
        <v>0</v>
      </c>
      <c r="AQ341" s="236">
        <v>0</v>
      </c>
      <c r="AR341" s="236">
        <v>0</v>
      </c>
      <c r="AS341" s="236">
        <v>0</v>
      </c>
      <c r="AT341" s="236">
        <v>0</v>
      </c>
      <c r="AU341" s="236">
        <v>0</v>
      </c>
      <c r="AV341" s="236">
        <v>0</v>
      </c>
      <c r="AW341" s="236">
        <v>0</v>
      </c>
      <c r="AX341" s="236">
        <v>0</v>
      </c>
      <c r="AY341" s="236">
        <v>0</v>
      </c>
      <c r="AZ341" s="236">
        <v>0</v>
      </c>
      <c r="BA341" s="236">
        <v>0</v>
      </c>
      <c r="BB341" s="236">
        <v>0</v>
      </c>
      <c r="BC341" s="236">
        <v>0</v>
      </c>
      <c r="BD341" s="236">
        <v>0</v>
      </c>
      <c r="BE341" s="1288">
        <v>0</v>
      </c>
      <c r="BF341" s="249"/>
    </row>
    <row r="342" spans="2:58" x14ac:dyDescent="0.25">
      <c r="B342" s="222"/>
      <c r="C342" s="220" t="str">
        <f>'II. Inputs, Baseline Energy Mix'!$E$77</f>
        <v>Front-end Fee, Public Guarantee</v>
      </c>
      <c r="D342" s="220"/>
      <c r="E342" s="220"/>
      <c r="F342" s="220"/>
      <c r="G342" s="236"/>
      <c r="H342" s="236">
        <f>IF($G$326&gt;0, $G$323*$G$326*'II. Inputs, Baseline Energy Mix'!$N$77/10000,0)</f>
        <v>0</v>
      </c>
      <c r="I342" s="236">
        <v>0</v>
      </c>
      <c r="J342" s="236">
        <v>0</v>
      </c>
      <c r="K342" s="236">
        <v>0</v>
      </c>
      <c r="L342" s="236">
        <v>0</v>
      </c>
      <c r="M342" s="236">
        <v>0</v>
      </c>
      <c r="N342" s="236">
        <v>0</v>
      </c>
      <c r="O342" s="236">
        <v>0</v>
      </c>
      <c r="P342" s="236">
        <v>0</v>
      </c>
      <c r="Q342" s="236">
        <v>0</v>
      </c>
      <c r="R342" s="236">
        <v>0</v>
      </c>
      <c r="S342" s="236">
        <v>0</v>
      </c>
      <c r="T342" s="236">
        <v>0</v>
      </c>
      <c r="U342" s="236">
        <v>0</v>
      </c>
      <c r="V342" s="236">
        <v>0</v>
      </c>
      <c r="W342" s="236">
        <v>0</v>
      </c>
      <c r="X342" s="236">
        <v>0</v>
      </c>
      <c r="Y342" s="236">
        <v>0</v>
      </c>
      <c r="Z342" s="236">
        <v>0</v>
      </c>
      <c r="AA342" s="236">
        <v>0</v>
      </c>
      <c r="AB342" s="236">
        <v>0</v>
      </c>
      <c r="AC342" s="236">
        <v>0</v>
      </c>
      <c r="AD342" s="236">
        <v>0</v>
      </c>
      <c r="AE342" s="236">
        <v>0</v>
      </c>
      <c r="AF342" s="236">
        <v>0</v>
      </c>
      <c r="AG342" s="236">
        <v>0</v>
      </c>
      <c r="AH342" s="236">
        <v>0</v>
      </c>
      <c r="AI342" s="236">
        <v>0</v>
      </c>
      <c r="AJ342" s="236">
        <v>0</v>
      </c>
      <c r="AK342" s="236">
        <v>0</v>
      </c>
      <c r="AL342" s="236">
        <v>0</v>
      </c>
      <c r="AM342" s="236">
        <v>0</v>
      </c>
      <c r="AN342" s="236">
        <v>0</v>
      </c>
      <c r="AO342" s="236">
        <v>0</v>
      </c>
      <c r="AP342" s="236">
        <v>0</v>
      </c>
      <c r="AQ342" s="236">
        <v>0</v>
      </c>
      <c r="AR342" s="236">
        <v>0</v>
      </c>
      <c r="AS342" s="236">
        <v>0</v>
      </c>
      <c r="AT342" s="236">
        <v>0</v>
      </c>
      <c r="AU342" s="236">
        <v>0</v>
      </c>
      <c r="AV342" s="236">
        <v>0</v>
      </c>
      <c r="AW342" s="236">
        <v>0</v>
      </c>
      <c r="AX342" s="236">
        <v>0</v>
      </c>
      <c r="AY342" s="236">
        <v>0</v>
      </c>
      <c r="AZ342" s="236">
        <v>0</v>
      </c>
      <c r="BA342" s="236">
        <v>0</v>
      </c>
      <c r="BB342" s="236">
        <v>0</v>
      </c>
      <c r="BC342" s="236">
        <v>0</v>
      </c>
      <c r="BD342" s="236">
        <v>0</v>
      </c>
      <c r="BE342" s="1288">
        <v>0</v>
      </c>
      <c r="BF342" s="249"/>
    </row>
    <row r="343" spans="2:58" x14ac:dyDescent="0.25">
      <c r="B343" s="222"/>
      <c r="C343" s="220" t="str">
        <f>'II. Inputs, Baseline Energy Mix'!$E$78</f>
        <v xml:space="preserve">Annual Public Guarantee Fee </v>
      </c>
      <c r="D343" s="220"/>
      <c r="E343" s="220"/>
      <c r="F343" s="220"/>
      <c r="G343" s="236"/>
      <c r="H343" s="236">
        <f>IF(H$299&gt;$G$327,0,((H335+H338)/2)*$G$326*'II. Inputs, Baseline Energy Mix'!$N$78/10000)</f>
        <v>0</v>
      </c>
      <c r="I343" s="236">
        <f>IF(I$299&gt;$G$327,0,((I335+I338)/2)*$G$326*'II. Inputs, Baseline Energy Mix'!$N$78/10000)</f>
        <v>0</v>
      </c>
      <c r="J343" s="236">
        <f>IF(J$299&gt;$G$327,0,((J335+J338)/2)*$G$326*'II. Inputs, Baseline Energy Mix'!$N$78/10000)</f>
        <v>0</v>
      </c>
      <c r="K343" s="236">
        <f>IF(K$299&gt;$G$327,0,((K335+K338)/2)*$G$326*'II. Inputs, Baseline Energy Mix'!$N$78/10000)</f>
        <v>0</v>
      </c>
      <c r="L343" s="236">
        <f>IF(L$299&gt;$G$327,0,((L335+L338)/2)*$G$326*'II. Inputs, Baseline Energy Mix'!$N$78/10000)</f>
        <v>0</v>
      </c>
      <c r="M343" s="236">
        <f>IF(M$299&gt;$G$327,0,((M335+M338)/2)*$G$326*'II. Inputs, Baseline Energy Mix'!$N$78/10000)</f>
        <v>0</v>
      </c>
      <c r="N343" s="236">
        <f>IF(N$299&gt;$G$327,0,((N335+N338)/2)*$G$326*'II. Inputs, Baseline Energy Mix'!$N$78/10000)</f>
        <v>0</v>
      </c>
      <c r="O343" s="236">
        <f>IF(O$299&gt;$G$327,0,((O335+O338)/2)*$G$326*'II. Inputs, Baseline Energy Mix'!$N$78/10000)</f>
        <v>0</v>
      </c>
      <c r="P343" s="236">
        <f>IF(P$299&gt;$G$327,0,((P335+P338)/2)*$G$326*'II. Inputs, Baseline Energy Mix'!$N$78/10000)</f>
        <v>0</v>
      </c>
      <c r="Q343" s="236">
        <f>IF(Q$299&gt;$G$327,0,((Q335+Q338)/2)*$G$326*'II. Inputs, Baseline Energy Mix'!$N$78/10000)</f>
        <v>0</v>
      </c>
      <c r="R343" s="236">
        <f>IF(R$299&gt;$G$327,0,((R335+R338)/2)*$G$326*'II. Inputs, Baseline Energy Mix'!$N$78/10000)</f>
        <v>0</v>
      </c>
      <c r="S343" s="236">
        <f>IF(S$299&gt;$G$327,0,((S335+S338)/2)*$G$326*'II. Inputs, Baseline Energy Mix'!$N$78/10000)</f>
        <v>0</v>
      </c>
      <c r="T343" s="236">
        <f>IF(T$299&gt;$G$327,0,((T335+T338)/2)*$G$326*'II. Inputs, Baseline Energy Mix'!$N$78/10000)</f>
        <v>0</v>
      </c>
      <c r="U343" s="236">
        <f>IF(U$299&gt;$G$327,0,((U335+U338)/2)*$G$326*'II. Inputs, Baseline Energy Mix'!$N$78/10000)</f>
        <v>0</v>
      </c>
      <c r="V343" s="236">
        <f>IF(V$299&gt;$G$327,0,((V335+V338)/2)*$G$326*'II. Inputs, Baseline Energy Mix'!$N$78/10000)</f>
        <v>0</v>
      </c>
      <c r="W343" s="236">
        <f>IF(W$299&gt;$G$327,0,((W335+W338)/2)*$G$326*'II. Inputs, Baseline Energy Mix'!$N$78/10000)</f>
        <v>0</v>
      </c>
      <c r="X343" s="236">
        <f>IF(X$299&gt;$G$327,0,((X335+X338)/2)*$G$326*'II. Inputs, Baseline Energy Mix'!$N$78/10000)</f>
        <v>0</v>
      </c>
      <c r="Y343" s="236">
        <f>IF(Y$299&gt;$G$327,0,((Y335+Y338)/2)*$G$326*'II. Inputs, Baseline Energy Mix'!$N$78/10000)</f>
        <v>0</v>
      </c>
      <c r="Z343" s="236">
        <f>IF(Z$299&gt;$G$327,0,((Z335+Z338)/2)*$G$326*'II. Inputs, Baseline Energy Mix'!$N$78/10000)</f>
        <v>0</v>
      </c>
      <c r="AA343" s="236">
        <f>IF(AA$299&gt;$G$327,0,((AA335+AA338)/2)*$G$326*'II. Inputs, Baseline Energy Mix'!$N$78/10000)</f>
        <v>0</v>
      </c>
      <c r="AB343" s="236">
        <f>IF(AB$299&gt;$G$327,0,((AB335+AB338)/2)*$G$326*'II. Inputs, Baseline Energy Mix'!$N$78/10000)</f>
        <v>0</v>
      </c>
      <c r="AC343" s="236">
        <f>IF(AC$299&gt;$G$327,0,((AC335+AC338)/2)*$G$326*'II. Inputs, Baseline Energy Mix'!$N$78/10000)</f>
        <v>0</v>
      </c>
      <c r="AD343" s="236">
        <f>IF(AD$299&gt;$G$327,0,((AD335+AD338)/2)*$G$326*'II. Inputs, Baseline Energy Mix'!$N$78/10000)</f>
        <v>0</v>
      </c>
      <c r="AE343" s="236">
        <f>IF(AE$299&gt;$G$327,0,((AE335+AE338)/2)*$G$326*'II. Inputs, Baseline Energy Mix'!$N$78/10000)</f>
        <v>0</v>
      </c>
      <c r="AF343" s="236">
        <f>IF(AF$299&gt;$G$327,0,((AF335+AF338)/2)*$G$326*'II. Inputs, Baseline Energy Mix'!$N$78/10000)</f>
        <v>0</v>
      </c>
      <c r="AG343" s="236">
        <f>IF(AG$299&gt;$G$327,0,((AG335+AG338)/2)*$G$326*'II. Inputs, Baseline Energy Mix'!$N$78/10000)</f>
        <v>0</v>
      </c>
      <c r="AH343" s="236">
        <f>IF(AH$299&gt;$G$327,0,((AH335+AH338)/2)*$G$326*'II. Inputs, Baseline Energy Mix'!$N$78/10000)</f>
        <v>0</v>
      </c>
      <c r="AI343" s="236">
        <f>IF(AI$299&gt;$G$327,0,((AI335+AI338)/2)*$G$326*'II. Inputs, Baseline Energy Mix'!$N$78/10000)</f>
        <v>0</v>
      </c>
      <c r="AJ343" s="236">
        <f>IF(AJ$299&gt;$G$327,0,((AJ335+AJ338)/2)*$G$326*'II. Inputs, Baseline Energy Mix'!$N$78/10000)</f>
        <v>0</v>
      </c>
      <c r="AK343" s="236">
        <f>IF(AK$299&gt;$G$327,0,((AK335+AK338)/2)*$G$326*'II. Inputs, Baseline Energy Mix'!$N$78/10000)</f>
        <v>0</v>
      </c>
      <c r="AL343" s="236">
        <f>IF(AL$299&gt;$G$327,0,((AL335+AL338)/2)*$G$326*'II. Inputs, Baseline Energy Mix'!$N$78/10000)</f>
        <v>0</v>
      </c>
      <c r="AM343" s="236">
        <f>IF(AM$299&gt;$G$327,0,((AM335+AM338)/2)*$G$326*'II. Inputs, Baseline Energy Mix'!$N$78/10000)</f>
        <v>0</v>
      </c>
      <c r="AN343" s="236">
        <f>IF(AN$299&gt;$G$327,0,((AN335+AN338)/2)*$G$326*'II. Inputs, Baseline Energy Mix'!$N$78/10000)</f>
        <v>0</v>
      </c>
      <c r="AO343" s="236">
        <f>IF(AO$299&gt;$G$327,0,((AO335+AO338)/2)*$G$326*'II. Inputs, Baseline Energy Mix'!$N$78/10000)</f>
        <v>0</v>
      </c>
      <c r="AP343" s="236">
        <f>IF(AP$299&gt;$G$327,0,((AP335+AP338)/2)*$G$326*'II. Inputs, Baseline Energy Mix'!$N$78/10000)</f>
        <v>0</v>
      </c>
      <c r="AQ343" s="236">
        <f>IF(AQ$299&gt;$G$327,0,((AQ335+AQ338)/2)*$G$326*'II. Inputs, Baseline Energy Mix'!$N$78/10000)</f>
        <v>0</v>
      </c>
      <c r="AR343" s="236">
        <f>IF(AR$299&gt;$G$327,0,((AR335+AR338)/2)*$G$326*'II. Inputs, Baseline Energy Mix'!$N$78/10000)</f>
        <v>0</v>
      </c>
      <c r="AS343" s="236">
        <f>IF(AS$299&gt;$G$327,0,((AS335+AS338)/2)*$G$326*'II. Inputs, Baseline Energy Mix'!$N$78/10000)</f>
        <v>0</v>
      </c>
      <c r="AT343" s="236">
        <f>IF(AT$299&gt;$G$327,0,((AT335+AT338)/2)*$G$326*'II. Inputs, Baseline Energy Mix'!$N$78/10000)</f>
        <v>0</v>
      </c>
      <c r="AU343" s="236">
        <f>IF(AU$299&gt;$G$327,0,((AU335+AU338)/2)*$G$326*'II. Inputs, Baseline Energy Mix'!$N$78/10000)</f>
        <v>0</v>
      </c>
      <c r="AV343" s="236">
        <f>IF(AV$299&gt;$G$327,0,((AV335+AV338)/2)*$G$326*'II. Inputs, Baseline Energy Mix'!$N$78/10000)</f>
        <v>0</v>
      </c>
      <c r="AW343" s="236">
        <f>IF(AW$299&gt;$G$327,0,((AW335+AW338)/2)*$G$326*'II. Inputs, Baseline Energy Mix'!$N$78/10000)</f>
        <v>0</v>
      </c>
      <c r="AX343" s="236">
        <f>IF(AX$299&gt;$G$327,0,((AX335+AX338)/2)*$G$326*'II. Inputs, Baseline Energy Mix'!$N$78/10000)</f>
        <v>0</v>
      </c>
      <c r="AY343" s="236">
        <f>IF(AY$299&gt;$G$327,0,((AY335+AY338)/2)*$G$326*'II. Inputs, Baseline Energy Mix'!$N$78/10000)</f>
        <v>0</v>
      </c>
      <c r="AZ343" s="236">
        <f>IF(AZ$299&gt;$G$327,0,((AZ335+AZ338)/2)*$G$326*'II. Inputs, Baseline Energy Mix'!$N$78/10000)</f>
        <v>0</v>
      </c>
      <c r="BA343" s="236">
        <f>IF(BA$299&gt;$G$327,0,((BA335+BA338)/2)*$G$326*'II. Inputs, Baseline Energy Mix'!$N$78/10000)</f>
        <v>0</v>
      </c>
      <c r="BB343" s="236">
        <f>IF(BB$299&gt;$G$327,0,((BB335+BB338)/2)*$G$326*'II. Inputs, Baseline Energy Mix'!$N$78/10000)</f>
        <v>0</v>
      </c>
      <c r="BC343" s="236">
        <f>IF(BC$299&gt;$G$327,0,((BC335+BC338)/2)*$G$326*'II. Inputs, Baseline Energy Mix'!$N$78/10000)</f>
        <v>0</v>
      </c>
      <c r="BD343" s="236">
        <f>IF(BD$299&gt;$G$327,0,((BD335+BD338)/2)*$G$326*'II. Inputs, Baseline Energy Mix'!$N$78/10000)</f>
        <v>0</v>
      </c>
      <c r="BE343" s="1288">
        <f>IF(BE$299&gt;$G$327,0,((BE335+BE338)/2)*$G$326*'II. Inputs, Baseline Energy Mix'!$N$78/10000)</f>
        <v>0</v>
      </c>
      <c r="BF343" s="249"/>
    </row>
    <row r="344" spans="2:58" x14ac:dyDescent="0.25">
      <c r="B344" s="222"/>
      <c r="C344" s="220"/>
      <c r="D344" s="220"/>
      <c r="E344" s="220"/>
      <c r="F344" s="220"/>
      <c r="G344" s="220"/>
      <c r="H344" s="220"/>
      <c r="I344" s="220"/>
      <c r="J344" s="220"/>
      <c r="K344" s="220"/>
      <c r="L344" s="220"/>
      <c r="M344" s="220"/>
      <c r="N344" s="220"/>
      <c r="O344" s="220"/>
      <c r="P344" s="220"/>
      <c r="Q344" s="220"/>
      <c r="R344" s="220"/>
      <c r="S344" s="220"/>
      <c r="T344" s="220"/>
      <c r="U344" s="220"/>
      <c r="V344" s="220"/>
      <c r="W344" s="220"/>
      <c r="X344" s="220"/>
      <c r="Y344" s="220"/>
      <c r="Z344" s="220"/>
      <c r="AA344" s="220"/>
      <c r="AB344" s="220"/>
      <c r="AC344" s="220"/>
      <c r="AD344" s="220"/>
      <c r="AE344" s="220"/>
      <c r="AF344" s="220"/>
      <c r="AG344" s="220"/>
      <c r="AH344" s="220"/>
      <c r="AI344" s="220"/>
      <c r="AJ344" s="220"/>
      <c r="AK344" s="220"/>
      <c r="AL344" s="220"/>
      <c r="AM344" s="220"/>
      <c r="AN344" s="220"/>
      <c r="AO344" s="220"/>
      <c r="AP344" s="220"/>
      <c r="AQ344" s="220"/>
      <c r="AR344" s="220"/>
      <c r="AS344" s="220"/>
      <c r="AT344" s="220"/>
      <c r="AU344" s="220"/>
      <c r="AV344" s="220"/>
      <c r="AW344" s="220"/>
      <c r="AX344" s="220"/>
      <c r="AY344" s="220"/>
      <c r="AZ344" s="220"/>
      <c r="BA344" s="220"/>
      <c r="BB344" s="220"/>
      <c r="BC344" s="220"/>
      <c r="BD344" s="220"/>
      <c r="BE344" s="221"/>
    </row>
    <row r="345" spans="2:58" x14ac:dyDescent="0.25">
      <c r="B345" s="219" t="s">
        <v>180</v>
      </c>
      <c r="C345" s="220"/>
      <c r="D345" s="220"/>
      <c r="E345" s="220"/>
      <c r="F345" s="220"/>
      <c r="G345" s="220"/>
      <c r="H345" s="220"/>
      <c r="I345" s="220"/>
      <c r="J345" s="220"/>
      <c r="K345" s="220"/>
      <c r="L345" s="220"/>
      <c r="M345" s="220"/>
      <c r="N345" s="220"/>
      <c r="O345" s="220"/>
      <c r="P345" s="220"/>
      <c r="Q345" s="220"/>
      <c r="R345" s="220"/>
      <c r="S345" s="220"/>
      <c r="T345" s="220"/>
      <c r="U345" s="220"/>
      <c r="V345" s="220"/>
      <c r="W345" s="220"/>
      <c r="X345" s="220"/>
      <c r="Y345" s="220"/>
      <c r="Z345" s="220"/>
      <c r="AA345" s="220"/>
      <c r="AB345" s="220"/>
      <c r="AC345" s="220"/>
      <c r="AD345" s="220"/>
      <c r="AE345" s="220"/>
      <c r="AF345" s="220"/>
      <c r="AG345" s="220"/>
      <c r="AH345" s="220"/>
      <c r="AI345" s="220"/>
      <c r="AJ345" s="220"/>
      <c r="AK345" s="220"/>
      <c r="AL345" s="220"/>
      <c r="AM345" s="220"/>
      <c r="AN345" s="220"/>
      <c r="AO345" s="220"/>
      <c r="AP345" s="220"/>
      <c r="AQ345" s="220"/>
      <c r="AR345" s="220"/>
      <c r="AS345" s="220"/>
      <c r="AT345" s="220"/>
      <c r="AU345" s="220"/>
      <c r="AV345" s="220"/>
      <c r="AW345" s="220"/>
      <c r="AX345" s="220"/>
      <c r="AY345" s="220"/>
      <c r="AZ345" s="220"/>
      <c r="BA345" s="220"/>
      <c r="BB345" s="220"/>
      <c r="BC345" s="220"/>
      <c r="BD345" s="220"/>
      <c r="BE345" s="221"/>
    </row>
    <row r="346" spans="2:58" x14ac:dyDescent="0.25">
      <c r="B346" s="222"/>
      <c r="C346" s="382" t="s">
        <v>68</v>
      </c>
      <c r="D346" s="220"/>
      <c r="E346" s="220"/>
      <c r="F346" s="220"/>
      <c r="G346" s="236">
        <f>IF('II. Inputs, Baseline Energy Mix'!$N$15&gt;0,('II. Inputs, Baseline Energy Mix'!$N$16*'II. Inputs, Baseline Energy Mix'!$N$17*'II. Inputs, Baseline Energy Mix'!$N$30*'II. Inputs, Baseline Energy Mix'!$N$34),0)</f>
        <v>0</v>
      </c>
      <c r="H346" s="220"/>
      <c r="I346" s="220"/>
      <c r="J346" s="220"/>
      <c r="K346" s="220"/>
      <c r="L346" s="220"/>
      <c r="M346" s="220"/>
      <c r="N346" s="220"/>
      <c r="O346" s="220"/>
      <c r="P346" s="220"/>
      <c r="Q346" s="220"/>
      <c r="R346" s="220"/>
      <c r="S346" s="220"/>
      <c r="T346" s="220"/>
      <c r="U346" s="220"/>
      <c r="V346" s="220"/>
      <c r="W346" s="220"/>
      <c r="X346" s="220"/>
      <c r="Y346" s="220"/>
      <c r="Z346" s="220"/>
      <c r="AA346" s="220"/>
      <c r="AB346" s="220"/>
      <c r="AC346" s="220"/>
      <c r="AD346" s="220"/>
      <c r="AE346" s="220"/>
      <c r="AF346" s="220"/>
      <c r="AG346" s="220"/>
      <c r="AH346" s="220"/>
      <c r="AI346" s="220"/>
      <c r="AJ346" s="220"/>
      <c r="AK346" s="220"/>
      <c r="AL346" s="220"/>
      <c r="AM346" s="220"/>
      <c r="AN346" s="220"/>
      <c r="AO346" s="220"/>
      <c r="AP346" s="220"/>
      <c r="AQ346" s="220"/>
      <c r="AR346" s="220"/>
      <c r="AS346" s="220"/>
      <c r="AT346" s="220"/>
      <c r="AU346" s="220"/>
      <c r="AV346" s="220"/>
      <c r="AW346" s="220"/>
      <c r="AX346" s="220"/>
      <c r="AY346" s="220"/>
      <c r="AZ346" s="220"/>
      <c r="BA346" s="220"/>
      <c r="BB346" s="220"/>
      <c r="BC346" s="220"/>
      <c r="BD346" s="220"/>
      <c r="BE346" s="221"/>
    </row>
    <row r="347" spans="2:58" x14ac:dyDescent="0.25">
      <c r="B347" s="222"/>
      <c r="C347" s="382" t="s">
        <v>69</v>
      </c>
      <c r="D347" s="220"/>
      <c r="E347" s="220"/>
      <c r="F347" s="220"/>
      <c r="G347" s="223">
        <f>SUM('II. Inputs, Baseline Energy Mix'!$N$46)</f>
        <v>0</v>
      </c>
      <c r="H347" s="220"/>
      <c r="I347" s="220"/>
      <c r="J347" s="220"/>
      <c r="K347" s="220"/>
      <c r="L347" s="220"/>
      <c r="M347" s="220"/>
      <c r="N347" s="220"/>
      <c r="O347" s="220"/>
      <c r="P347" s="220"/>
      <c r="Q347" s="220"/>
      <c r="R347" s="220"/>
      <c r="S347" s="220"/>
      <c r="T347" s="220"/>
      <c r="U347" s="220"/>
      <c r="V347" s="220"/>
      <c r="W347" s="220"/>
      <c r="X347" s="220"/>
      <c r="Y347" s="220"/>
      <c r="Z347" s="220"/>
      <c r="AA347" s="220"/>
      <c r="AB347" s="220"/>
      <c r="AC347" s="220"/>
      <c r="AD347" s="220"/>
      <c r="AE347" s="220"/>
      <c r="AF347" s="220"/>
      <c r="AG347" s="220"/>
      <c r="AH347" s="220"/>
      <c r="AI347" s="220"/>
      <c r="AJ347" s="220"/>
      <c r="AK347" s="220"/>
      <c r="AL347" s="220"/>
      <c r="AM347" s="220"/>
      <c r="AN347" s="220"/>
      <c r="AO347" s="220"/>
      <c r="AP347" s="220"/>
      <c r="AQ347" s="220"/>
      <c r="AR347" s="220"/>
      <c r="AS347" s="220"/>
      <c r="AT347" s="220"/>
      <c r="AU347" s="220"/>
      <c r="AV347" s="220"/>
      <c r="AW347" s="220"/>
      <c r="AX347" s="220"/>
      <c r="AY347" s="220"/>
      <c r="AZ347" s="220"/>
      <c r="BA347" s="220"/>
      <c r="BB347" s="220"/>
      <c r="BC347" s="220"/>
      <c r="BD347" s="220"/>
      <c r="BE347" s="221"/>
    </row>
    <row r="348" spans="2:58" x14ac:dyDescent="0.25">
      <c r="B348" s="222"/>
      <c r="C348" s="382" t="s">
        <v>70</v>
      </c>
      <c r="D348" s="220"/>
      <c r="E348" s="220"/>
      <c r="F348" s="220"/>
      <c r="G348" s="1105">
        <f>SUM('II. Inputs, Baseline Energy Mix'!$N$41)</f>
        <v>8.5000000000000006E-2</v>
      </c>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0"/>
      <c r="AY348" s="220"/>
      <c r="AZ348" s="220"/>
      <c r="BA348" s="220"/>
      <c r="BB348" s="220"/>
      <c r="BC348" s="220"/>
      <c r="BD348" s="220"/>
      <c r="BE348" s="221"/>
    </row>
    <row r="349" spans="2:58" x14ac:dyDescent="0.25">
      <c r="B349" s="222"/>
      <c r="C349" s="220"/>
      <c r="D349" s="220"/>
      <c r="E349" s="220"/>
      <c r="F349" s="220"/>
      <c r="G349" s="220"/>
      <c r="H349" s="220"/>
      <c r="I349" s="220"/>
      <c r="J349" s="220"/>
      <c r="K349" s="220"/>
      <c r="L349" s="220"/>
      <c r="M349" s="220"/>
      <c r="N349" s="220"/>
      <c r="O349" s="220"/>
      <c r="P349" s="220"/>
      <c r="Q349" s="220"/>
      <c r="R349" s="220"/>
      <c r="S349" s="220"/>
      <c r="T349" s="220"/>
      <c r="U349" s="220"/>
      <c r="V349" s="220"/>
      <c r="W349" s="220"/>
      <c r="X349" s="220"/>
      <c r="Y349" s="220"/>
      <c r="Z349" s="220"/>
      <c r="AA349" s="220"/>
      <c r="AB349" s="220"/>
      <c r="AC349" s="220"/>
      <c r="AD349" s="220"/>
      <c r="AE349" s="220"/>
      <c r="AF349" s="220"/>
      <c r="AG349" s="220"/>
      <c r="AH349" s="220"/>
      <c r="AI349" s="220"/>
      <c r="AJ349" s="220"/>
      <c r="AK349" s="220"/>
      <c r="AL349" s="220"/>
      <c r="AM349" s="220"/>
      <c r="AN349" s="220"/>
      <c r="AO349" s="220"/>
      <c r="AP349" s="220"/>
      <c r="AQ349" s="220"/>
      <c r="AR349" s="220"/>
      <c r="AS349" s="220"/>
      <c r="AT349" s="220"/>
      <c r="AU349" s="220"/>
      <c r="AV349" s="220"/>
      <c r="AW349" s="220"/>
      <c r="AX349" s="220"/>
      <c r="AY349" s="220"/>
      <c r="AZ349" s="220"/>
      <c r="BA349" s="220"/>
      <c r="BB349" s="220"/>
      <c r="BC349" s="220"/>
      <c r="BD349" s="220"/>
      <c r="BE349" s="221"/>
    </row>
    <row r="350" spans="2:58" x14ac:dyDescent="0.25">
      <c r="B350" s="222"/>
      <c r="C350" s="384" t="s">
        <v>67</v>
      </c>
      <c r="D350" s="220"/>
      <c r="E350" s="220"/>
      <c r="F350" s="220"/>
      <c r="G350" s="236"/>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c r="AS350" s="236"/>
      <c r="AT350" s="236"/>
      <c r="AU350" s="236"/>
      <c r="AV350" s="236"/>
      <c r="AW350" s="236"/>
      <c r="AX350" s="236"/>
      <c r="AY350" s="236"/>
      <c r="AZ350" s="236"/>
      <c r="BA350" s="236"/>
      <c r="BB350" s="236"/>
      <c r="BC350" s="236"/>
      <c r="BD350" s="236"/>
      <c r="BE350" s="1288"/>
      <c r="BF350" s="249"/>
    </row>
    <row r="351" spans="2:58" x14ac:dyDescent="0.25">
      <c r="B351" s="222"/>
      <c r="C351" s="220" t="s">
        <v>73</v>
      </c>
      <c r="D351" s="220"/>
      <c r="E351" s="220"/>
      <c r="F351" s="220"/>
      <c r="G351" s="236"/>
      <c r="H351" s="236">
        <f>IF(H$299&gt;$G$347,0,IPMT($G$348,H$299,$G$347,-$G$346))</f>
        <v>0</v>
      </c>
      <c r="I351" s="236">
        <f t="shared" ref="I351:BE351" si="121">IF(I$299&gt;$G$347,0,IPMT($G$348,I$299,$G$347,-$G$346))</f>
        <v>0</v>
      </c>
      <c r="J351" s="236">
        <f t="shared" si="121"/>
        <v>0</v>
      </c>
      <c r="K351" s="236">
        <f t="shared" si="121"/>
        <v>0</v>
      </c>
      <c r="L351" s="236">
        <f t="shared" si="121"/>
        <v>0</v>
      </c>
      <c r="M351" s="236">
        <f t="shared" si="121"/>
        <v>0</v>
      </c>
      <c r="N351" s="236">
        <f t="shared" si="121"/>
        <v>0</v>
      </c>
      <c r="O351" s="236">
        <f t="shared" si="121"/>
        <v>0</v>
      </c>
      <c r="P351" s="236">
        <f t="shared" si="121"/>
        <v>0</v>
      </c>
      <c r="Q351" s="236">
        <f t="shared" si="121"/>
        <v>0</v>
      </c>
      <c r="R351" s="236">
        <f t="shared" si="121"/>
        <v>0</v>
      </c>
      <c r="S351" s="236">
        <f t="shared" si="121"/>
        <v>0</v>
      </c>
      <c r="T351" s="236">
        <f t="shared" si="121"/>
        <v>0</v>
      </c>
      <c r="U351" s="236">
        <f t="shared" si="121"/>
        <v>0</v>
      </c>
      <c r="V351" s="236">
        <f t="shared" si="121"/>
        <v>0</v>
      </c>
      <c r="W351" s="236">
        <f t="shared" si="121"/>
        <v>0</v>
      </c>
      <c r="X351" s="236">
        <f t="shared" si="121"/>
        <v>0</v>
      </c>
      <c r="Y351" s="236">
        <f t="shared" si="121"/>
        <v>0</v>
      </c>
      <c r="Z351" s="236">
        <f t="shared" si="121"/>
        <v>0</v>
      </c>
      <c r="AA351" s="236">
        <f t="shared" si="121"/>
        <v>0</v>
      </c>
      <c r="AB351" s="236">
        <f t="shared" si="121"/>
        <v>0</v>
      </c>
      <c r="AC351" s="236">
        <f t="shared" si="121"/>
        <v>0</v>
      </c>
      <c r="AD351" s="236">
        <f t="shared" si="121"/>
        <v>0</v>
      </c>
      <c r="AE351" s="236">
        <f t="shared" si="121"/>
        <v>0</v>
      </c>
      <c r="AF351" s="236">
        <f t="shared" si="121"/>
        <v>0</v>
      </c>
      <c r="AG351" s="236">
        <f t="shared" si="121"/>
        <v>0</v>
      </c>
      <c r="AH351" s="236">
        <f t="shared" si="121"/>
        <v>0</v>
      </c>
      <c r="AI351" s="236">
        <f t="shared" si="121"/>
        <v>0</v>
      </c>
      <c r="AJ351" s="236">
        <f t="shared" si="121"/>
        <v>0</v>
      </c>
      <c r="AK351" s="236">
        <f t="shared" si="121"/>
        <v>0</v>
      </c>
      <c r="AL351" s="236">
        <f t="shared" si="121"/>
        <v>0</v>
      </c>
      <c r="AM351" s="236">
        <f t="shared" si="121"/>
        <v>0</v>
      </c>
      <c r="AN351" s="236">
        <f t="shared" si="121"/>
        <v>0</v>
      </c>
      <c r="AO351" s="236">
        <f t="shared" si="121"/>
        <v>0</v>
      </c>
      <c r="AP351" s="236">
        <f t="shared" si="121"/>
        <v>0</v>
      </c>
      <c r="AQ351" s="236">
        <f t="shared" si="121"/>
        <v>0</v>
      </c>
      <c r="AR351" s="236">
        <f t="shared" si="121"/>
        <v>0</v>
      </c>
      <c r="AS351" s="236">
        <f t="shared" si="121"/>
        <v>0</v>
      </c>
      <c r="AT351" s="236">
        <f t="shared" si="121"/>
        <v>0</v>
      </c>
      <c r="AU351" s="236">
        <f t="shared" si="121"/>
        <v>0</v>
      </c>
      <c r="AV351" s="236">
        <f t="shared" si="121"/>
        <v>0</v>
      </c>
      <c r="AW351" s="236">
        <f t="shared" si="121"/>
        <v>0</v>
      </c>
      <c r="AX351" s="236">
        <f t="shared" si="121"/>
        <v>0</v>
      </c>
      <c r="AY351" s="236">
        <f t="shared" si="121"/>
        <v>0</v>
      </c>
      <c r="AZ351" s="236">
        <f t="shared" si="121"/>
        <v>0</v>
      </c>
      <c r="BA351" s="236">
        <f t="shared" si="121"/>
        <v>0</v>
      </c>
      <c r="BB351" s="236">
        <f t="shared" si="121"/>
        <v>0</v>
      </c>
      <c r="BC351" s="236">
        <f t="shared" si="121"/>
        <v>0</v>
      </c>
      <c r="BD351" s="236">
        <f t="shared" si="121"/>
        <v>0</v>
      </c>
      <c r="BE351" s="1288">
        <f t="shared" si="121"/>
        <v>0</v>
      </c>
      <c r="BF351" s="249"/>
    </row>
    <row r="352" spans="2:58" x14ac:dyDescent="0.25">
      <c r="B352" s="222"/>
      <c r="C352" s="228" t="s">
        <v>72</v>
      </c>
      <c r="D352" s="228"/>
      <c r="E352" s="228"/>
      <c r="F352" s="228"/>
      <c r="G352" s="238"/>
      <c r="H352" s="238">
        <f>IF(H$299&gt;$G$347,0,PPMT($G$348,H$299,$G$347,-$G$346))</f>
        <v>0</v>
      </c>
      <c r="I352" s="238">
        <f t="shared" ref="I352:BE352" si="122">IF(I$299&gt;$G$347,0,PPMT($G$348,I$299,$G$347,-$G$346))</f>
        <v>0</v>
      </c>
      <c r="J352" s="238">
        <f t="shared" si="122"/>
        <v>0</v>
      </c>
      <c r="K352" s="238">
        <f t="shared" si="122"/>
        <v>0</v>
      </c>
      <c r="L352" s="238">
        <f t="shared" si="122"/>
        <v>0</v>
      </c>
      <c r="M352" s="238">
        <f t="shared" si="122"/>
        <v>0</v>
      </c>
      <c r="N352" s="238">
        <f t="shared" si="122"/>
        <v>0</v>
      </c>
      <c r="O352" s="238">
        <f t="shared" si="122"/>
        <v>0</v>
      </c>
      <c r="P352" s="238">
        <f t="shared" si="122"/>
        <v>0</v>
      </c>
      <c r="Q352" s="238">
        <f t="shared" si="122"/>
        <v>0</v>
      </c>
      <c r="R352" s="238">
        <f t="shared" si="122"/>
        <v>0</v>
      </c>
      <c r="S352" s="238">
        <f t="shared" si="122"/>
        <v>0</v>
      </c>
      <c r="T352" s="238">
        <f t="shared" si="122"/>
        <v>0</v>
      </c>
      <c r="U352" s="238">
        <f t="shared" si="122"/>
        <v>0</v>
      </c>
      <c r="V352" s="238">
        <f t="shared" si="122"/>
        <v>0</v>
      </c>
      <c r="W352" s="238">
        <f t="shared" si="122"/>
        <v>0</v>
      </c>
      <c r="X352" s="238">
        <f t="shared" si="122"/>
        <v>0</v>
      </c>
      <c r="Y352" s="238">
        <f t="shared" si="122"/>
        <v>0</v>
      </c>
      <c r="Z352" s="238">
        <f t="shared" si="122"/>
        <v>0</v>
      </c>
      <c r="AA352" s="238">
        <f t="shared" si="122"/>
        <v>0</v>
      </c>
      <c r="AB352" s="238">
        <f t="shared" si="122"/>
        <v>0</v>
      </c>
      <c r="AC352" s="238">
        <f t="shared" si="122"/>
        <v>0</v>
      </c>
      <c r="AD352" s="238">
        <f t="shared" si="122"/>
        <v>0</v>
      </c>
      <c r="AE352" s="238">
        <f t="shared" si="122"/>
        <v>0</v>
      </c>
      <c r="AF352" s="238">
        <f t="shared" si="122"/>
        <v>0</v>
      </c>
      <c r="AG352" s="238">
        <f t="shared" si="122"/>
        <v>0</v>
      </c>
      <c r="AH352" s="238">
        <f t="shared" si="122"/>
        <v>0</v>
      </c>
      <c r="AI352" s="238">
        <f t="shared" si="122"/>
        <v>0</v>
      </c>
      <c r="AJ352" s="238">
        <f t="shared" si="122"/>
        <v>0</v>
      </c>
      <c r="AK352" s="238">
        <f t="shared" si="122"/>
        <v>0</v>
      </c>
      <c r="AL352" s="238">
        <f t="shared" si="122"/>
        <v>0</v>
      </c>
      <c r="AM352" s="238">
        <f t="shared" si="122"/>
        <v>0</v>
      </c>
      <c r="AN352" s="238">
        <f t="shared" si="122"/>
        <v>0</v>
      </c>
      <c r="AO352" s="238">
        <f t="shared" si="122"/>
        <v>0</v>
      </c>
      <c r="AP352" s="238">
        <f t="shared" si="122"/>
        <v>0</v>
      </c>
      <c r="AQ352" s="238">
        <f t="shared" si="122"/>
        <v>0</v>
      </c>
      <c r="AR352" s="238">
        <f t="shared" si="122"/>
        <v>0</v>
      </c>
      <c r="AS352" s="238">
        <f t="shared" si="122"/>
        <v>0</v>
      </c>
      <c r="AT352" s="238">
        <f t="shared" si="122"/>
        <v>0</v>
      </c>
      <c r="AU352" s="238">
        <f t="shared" si="122"/>
        <v>0</v>
      </c>
      <c r="AV352" s="238">
        <f t="shared" si="122"/>
        <v>0</v>
      </c>
      <c r="AW352" s="238">
        <f t="shared" si="122"/>
        <v>0</v>
      </c>
      <c r="AX352" s="238">
        <f t="shared" si="122"/>
        <v>0</v>
      </c>
      <c r="AY352" s="238">
        <f t="shared" si="122"/>
        <v>0</v>
      </c>
      <c r="AZ352" s="238">
        <f t="shared" si="122"/>
        <v>0</v>
      </c>
      <c r="BA352" s="238">
        <f t="shared" si="122"/>
        <v>0</v>
      </c>
      <c r="BB352" s="238">
        <f t="shared" si="122"/>
        <v>0</v>
      </c>
      <c r="BC352" s="238">
        <f t="shared" si="122"/>
        <v>0</v>
      </c>
      <c r="BD352" s="238">
        <f t="shared" si="122"/>
        <v>0</v>
      </c>
      <c r="BE352" s="1289">
        <f t="shared" si="122"/>
        <v>0</v>
      </c>
      <c r="BF352" s="249"/>
    </row>
    <row r="353" spans="2:58" x14ac:dyDescent="0.25">
      <c r="B353" s="222"/>
      <c r="C353" s="220" t="s">
        <v>74</v>
      </c>
      <c r="D353" s="220"/>
      <c r="E353" s="220"/>
      <c r="F353" s="220"/>
      <c r="G353" s="236"/>
      <c r="H353" s="236">
        <f>SUM(H351:H352)</f>
        <v>0</v>
      </c>
      <c r="I353" s="236">
        <f t="shared" ref="I353:W353" si="123">SUM(I351:I352)</f>
        <v>0</v>
      </c>
      <c r="J353" s="236">
        <f t="shared" si="123"/>
        <v>0</v>
      </c>
      <c r="K353" s="236">
        <f t="shared" si="123"/>
        <v>0</v>
      </c>
      <c r="L353" s="236">
        <f t="shared" si="123"/>
        <v>0</v>
      </c>
      <c r="M353" s="236">
        <f t="shared" si="123"/>
        <v>0</v>
      </c>
      <c r="N353" s="236">
        <f t="shared" si="123"/>
        <v>0</v>
      </c>
      <c r="O353" s="236">
        <f t="shared" si="123"/>
        <v>0</v>
      </c>
      <c r="P353" s="236">
        <f t="shared" si="123"/>
        <v>0</v>
      </c>
      <c r="Q353" s="236">
        <f t="shared" si="123"/>
        <v>0</v>
      </c>
      <c r="R353" s="236">
        <f t="shared" si="123"/>
        <v>0</v>
      </c>
      <c r="S353" s="236">
        <f t="shared" si="123"/>
        <v>0</v>
      </c>
      <c r="T353" s="236">
        <f t="shared" si="123"/>
        <v>0</v>
      </c>
      <c r="U353" s="236">
        <f t="shared" si="123"/>
        <v>0</v>
      </c>
      <c r="V353" s="236">
        <f t="shared" si="123"/>
        <v>0</v>
      </c>
      <c r="W353" s="236">
        <f t="shared" si="123"/>
        <v>0</v>
      </c>
      <c r="X353" s="236">
        <f t="shared" ref="X353:BE353" si="124">SUM(X351:X352)</f>
        <v>0</v>
      </c>
      <c r="Y353" s="236">
        <f t="shared" si="124"/>
        <v>0</v>
      </c>
      <c r="Z353" s="236">
        <f t="shared" si="124"/>
        <v>0</v>
      </c>
      <c r="AA353" s="236">
        <f t="shared" si="124"/>
        <v>0</v>
      </c>
      <c r="AB353" s="236">
        <f t="shared" si="124"/>
        <v>0</v>
      </c>
      <c r="AC353" s="236">
        <f t="shared" si="124"/>
        <v>0</v>
      </c>
      <c r="AD353" s="236">
        <f t="shared" si="124"/>
        <v>0</v>
      </c>
      <c r="AE353" s="236">
        <f t="shared" si="124"/>
        <v>0</v>
      </c>
      <c r="AF353" s="236">
        <f t="shared" si="124"/>
        <v>0</v>
      </c>
      <c r="AG353" s="236">
        <f t="shared" si="124"/>
        <v>0</v>
      </c>
      <c r="AH353" s="236">
        <f t="shared" si="124"/>
        <v>0</v>
      </c>
      <c r="AI353" s="236">
        <f t="shared" si="124"/>
        <v>0</v>
      </c>
      <c r="AJ353" s="236">
        <f t="shared" si="124"/>
        <v>0</v>
      </c>
      <c r="AK353" s="236">
        <f t="shared" si="124"/>
        <v>0</v>
      </c>
      <c r="AL353" s="236">
        <f t="shared" si="124"/>
        <v>0</v>
      </c>
      <c r="AM353" s="236">
        <f t="shared" si="124"/>
        <v>0</v>
      </c>
      <c r="AN353" s="236">
        <f t="shared" si="124"/>
        <v>0</v>
      </c>
      <c r="AO353" s="236">
        <f t="shared" si="124"/>
        <v>0</v>
      </c>
      <c r="AP353" s="236">
        <f t="shared" si="124"/>
        <v>0</v>
      </c>
      <c r="AQ353" s="236">
        <f t="shared" si="124"/>
        <v>0</v>
      </c>
      <c r="AR353" s="236">
        <f t="shared" si="124"/>
        <v>0</v>
      </c>
      <c r="AS353" s="236">
        <f t="shared" si="124"/>
        <v>0</v>
      </c>
      <c r="AT353" s="236">
        <f t="shared" si="124"/>
        <v>0</v>
      </c>
      <c r="AU353" s="236">
        <f t="shared" si="124"/>
        <v>0</v>
      </c>
      <c r="AV353" s="236">
        <f t="shared" si="124"/>
        <v>0</v>
      </c>
      <c r="AW353" s="236">
        <f t="shared" si="124"/>
        <v>0</v>
      </c>
      <c r="AX353" s="236">
        <f t="shared" si="124"/>
        <v>0</v>
      </c>
      <c r="AY353" s="236">
        <f t="shared" si="124"/>
        <v>0</v>
      </c>
      <c r="AZ353" s="236">
        <f t="shared" si="124"/>
        <v>0</v>
      </c>
      <c r="BA353" s="236">
        <f t="shared" si="124"/>
        <v>0</v>
      </c>
      <c r="BB353" s="236">
        <f t="shared" si="124"/>
        <v>0</v>
      </c>
      <c r="BC353" s="236">
        <f t="shared" si="124"/>
        <v>0</v>
      </c>
      <c r="BD353" s="236">
        <f t="shared" si="124"/>
        <v>0</v>
      </c>
      <c r="BE353" s="1288">
        <f t="shared" si="124"/>
        <v>0</v>
      </c>
      <c r="BF353" s="249"/>
    </row>
    <row r="354" spans="2:58" x14ac:dyDescent="0.25">
      <c r="B354" s="222"/>
      <c r="C354" s="220"/>
      <c r="D354" s="220"/>
      <c r="E354" s="220"/>
      <c r="F354" s="220"/>
      <c r="G354" s="236"/>
      <c r="H354" s="236"/>
      <c r="I354" s="236"/>
      <c r="J354" s="236"/>
      <c r="K354" s="236"/>
      <c r="L354" s="236"/>
      <c r="M354" s="236"/>
      <c r="N354" s="236"/>
      <c r="O354" s="236"/>
      <c r="P354" s="236"/>
      <c r="Q354" s="236"/>
      <c r="R354" s="236"/>
      <c r="S354" s="236"/>
      <c r="T354" s="236"/>
      <c r="U354" s="236"/>
      <c r="V354" s="236"/>
      <c r="W354" s="236"/>
      <c r="X354" s="236"/>
      <c r="Y354" s="236"/>
      <c r="Z354" s="236"/>
      <c r="AA354" s="236"/>
      <c r="AB354" s="236"/>
      <c r="AC354" s="236"/>
      <c r="AD354" s="236"/>
      <c r="AE354" s="236"/>
      <c r="AF354" s="236"/>
      <c r="AG354" s="236"/>
      <c r="AH354" s="236"/>
      <c r="AI354" s="236"/>
      <c r="AJ354" s="236"/>
      <c r="AK354" s="236"/>
      <c r="AL354" s="236"/>
      <c r="AM354" s="236"/>
      <c r="AN354" s="236"/>
      <c r="AO354" s="236"/>
      <c r="AP354" s="236"/>
      <c r="AQ354" s="236"/>
      <c r="AR354" s="236"/>
      <c r="AS354" s="236"/>
      <c r="AT354" s="236"/>
      <c r="AU354" s="236"/>
      <c r="AV354" s="236"/>
      <c r="AW354" s="236"/>
      <c r="AX354" s="236"/>
      <c r="AY354" s="236"/>
      <c r="AZ354" s="236"/>
      <c r="BA354" s="236"/>
      <c r="BB354" s="236"/>
      <c r="BC354" s="236"/>
      <c r="BD354" s="236"/>
      <c r="BE354" s="1288"/>
      <c r="BF354" s="249"/>
    </row>
    <row r="355" spans="2:58" x14ac:dyDescent="0.25">
      <c r="B355" s="222"/>
      <c r="C355" s="385" t="s">
        <v>65</v>
      </c>
      <c r="D355" s="220"/>
      <c r="E355" s="220"/>
      <c r="F355" s="220"/>
      <c r="G355" s="236"/>
      <c r="H355" s="236"/>
      <c r="I355" s="236"/>
      <c r="J355" s="236"/>
      <c r="K355" s="236"/>
      <c r="L355" s="236"/>
      <c r="M355" s="236"/>
      <c r="N355" s="236"/>
      <c r="O355" s="236"/>
      <c r="P355" s="236"/>
      <c r="Q355" s="236"/>
      <c r="R355" s="236"/>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6"/>
      <c r="AN355" s="236"/>
      <c r="AO355" s="236"/>
      <c r="AP355" s="236"/>
      <c r="AQ355" s="236"/>
      <c r="AR355" s="236"/>
      <c r="AS355" s="236"/>
      <c r="AT355" s="236"/>
      <c r="AU355" s="236"/>
      <c r="AV355" s="236"/>
      <c r="AW355" s="236"/>
      <c r="AX355" s="236"/>
      <c r="AY355" s="236"/>
      <c r="AZ355" s="236"/>
      <c r="BA355" s="236"/>
      <c r="BB355" s="236"/>
      <c r="BC355" s="236"/>
      <c r="BD355" s="236"/>
      <c r="BE355" s="1288"/>
      <c r="BF355" s="249"/>
    </row>
    <row r="356" spans="2:58" x14ac:dyDescent="0.25">
      <c r="B356" s="222"/>
      <c r="C356" s="220" t="s">
        <v>75</v>
      </c>
      <c r="D356" s="220"/>
      <c r="E356" s="220"/>
      <c r="F356" s="220"/>
      <c r="G356" s="236">
        <v>0</v>
      </c>
      <c r="H356" s="236">
        <f>G359</f>
        <v>0</v>
      </c>
      <c r="I356" s="236">
        <f t="shared" ref="I356:W356" si="125">H359</f>
        <v>0</v>
      </c>
      <c r="J356" s="236">
        <f t="shared" si="125"/>
        <v>0</v>
      </c>
      <c r="K356" s="236">
        <f t="shared" si="125"/>
        <v>0</v>
      </c>
      <c r="L356" s="236">
        <f t="shared" si="125"/>
        <v>0</v>
      </c>
      <c r="M356" s="236">
        <f t="shared" si="125"/>
        <v>0</v>
      </c>
      <c r="N356" s="236">
        <f t="shared" si="125"/>
        <v>0</v>
      </c>
      <c r="O356" s="236">
        <f t="shared" si="125"/>
        <v>0</v>
      </c>
      <c r="P356" s="236">
        <f t="shared" si="125"/>
        <v>0</v>
      </c>
      <c r="Q356" s="236">
        <f t="shared" si="125"/>
        <v>0</v>
      </c>
      <c r="R356" s="236">
        <f t="shared" si="125"/>
        <v>0</v>
      </c>
      <c r="S356" s="236">
        <f t="shared" si="125"/>
        <v>0</v>
      </c>
      <c r="T356" s="236">
        <f t="shared" si="125"/>
        <v>0</v>
      </c>
      <c r="U356" s="236">
        <f t="shared" si="125"/>
        <v>0</v>
      </c>
      <c r="V356" s="236">
        <f t="shared" si="125"/>
        <v>0</v>
      </c>
      <c r="W356" s="236">
        <f t="shared" si="125"/>
        <v>0</v>
      </c>
      <c r="X356" s="236">
        <f t="shared" ref="X356:BE356" si="126">W359</f>
        <v>0</v>
      </c>
      <c r="Y356" s="236">
        <f t="shared" si="126"/>
        <v>0</v>
      </c>
      <c r="Z356" s="236">
        <f t="shared" si="126"/>
        <v>0</v>
      </c>
      <c r="AA356" s="236">
        <f t="shared" si="126"/>
        <v>0</v>
      </c>
      <c r="AB356" s="236">
        <f t="shared" si="126"/>
        <v>0</v>
      </c>
      <c r="AC356" s="236">
        <f t="shared" si="126"/>
        <v>0</v>
      </c>
      <c r="AD356" s="236">
        <f t="shared" si="126"/>
        <v>0</v>
      </c>
      <c r="AE356" s="236">
        <f t="shared" si="126"/>
        <v>0</v>
      </c>
      <c r="AF356" s="236">
        <f t="shared" si="126"/>
        <v>0</v>
      </c>
      <c r="AG356" s="236">
        <f t="shared" si="126"/>
        <v>0</v>
      </c>
      <c r="AH356" s="236">
        <f t="shared" si="126"/>
        <v>0</v>
      </c>
      <c r="AI356" s="236">
        <f t="shared" si="126"/>
        <v>0</v>
      </c>
      <c r="AJ356" s="236">
        <f t="shared" si="126"/>
        <v>0</v>
      </c>
      <c r="AK356" s="236">
        <f t="shared" si="126"/>
        <v>0</v>
      </c>
      <c r="AL356" s="236">
        <f t="shared" si="126"/>
        <v>0</v>
      </c>
      <c r="AM356" s="236">
        <f t="shared" si="126"/>
        <v>0</v>
      </c>
      <c r="AN356" s="236">
        <f t="shared" si="126"/>
        <v>0</v>
      </c>
      <c r="AO356" s="236">
        <f t="shared" si="126"/>
        <v>0</v>
      </c>
      <c r="AP356" s="236">
        <f t="shared" si="126"/>
        <v>0</v>
      </c>
      <c r="AQ356" s="236">
        <f t="shared" si="126"/>
        <v>0</v>
      </c>
      <c r="AR356" s="236">
        <f t="shared" si="126"/>
        <v>0</v>
      </c>
      <c r="AS356" s="236">
        <f t="shared" si="126"/>
        <v>0</v>
      </c>
      <c r="AT356" s="236">
        <f t="shared" si="126"/>
        <v>0</v>
      </c>
      <c r="AU356" s="236">
        <f t="shared" si="126"/>
        <v>0</v>
      </c>
      <c r="AV356" s="236">
        <f t="shared" si="126"/>
        <v>0</v>
      </c>
      <c r="AW356" s="236">
        <f t="shared" si="126"/>
        <v>0</v>
      </c>
      <c r="AX356" s="236">
        <f t="shared" si="126"/>
        <v>0</v>
      </c>
      <c r="AY356" s="236">
        <f t="shared" si="126"/>
        <v>0</v>
      </c>
      <c r="AZ356" s="236">
        <f t="shared" si="126"/>
        <v>0</v>
      </c>
      <c r="BA356" s="236">
        <f t="shared" si="126"/>
        <v>0</v>
      </c>
      <c r="BB356" s="236">
        <f t="shared" si="126"/>
        <v>0</v>
      </c>
      <c r="BC356" s="236">
        <f t="shared" si="126"/>
        <v>0</v>
      </c>
      <c r="BD356" s="236">
        <f t="shared" si="126"/>
        <v>0</v>
      </c>
      <c r="BE356" s="1288">
        <f t="shared" si="126"/>
        <v>0</v>
      </c>
      <c r="BF356" s="249"/>
    </row>
    <row r="357" spans="2:58" x14ac:dyDescent="0.25">
      <c r="B357" s="222"/>
      <c r="C357" s="220" t="s">
        <v>76</v>
      </c>
      <c r="D357" s="220"/>
      <c r="E357" s="220"/>
      <c r="F357" s="220"/>
      <c r="G357" s="236">
        <f>G346</f>
        <v>0</v>
      </c>
      <c r="H357" s="236">
        <v>0</v>
      </c>
      <c r="I357" s="236">
        <v>0</v>
      </c>
      <c r="J357" s="236">
        <v>0</v>
      </c>
      <c r="K357" s="236">
        <v>0</v>
      </c>
      <c r="L357" s="236">
        <v>0</v>
      </c>
      <c r="M357" s="236">
        <v>0</v>
      </c>
      <c r="N357" s="236">
        <v>0</v>
      </c>
      <c r="O357" s="236">
        <v>0</v>
      </c>
      <c r="P357" s="236">
        <v>0</v>
      </c>
      <c r="Q357" s="236">
        <v>0</v>
      </c>
      <c r="R357" s="236">
        <v>0</v>
      </c>
      <c r="S357" s="236">
        <v>0</v>
      </c>
      <c r="T357" s="236">
        <v>0</v>
      </c>
      <c r="U357" s="236">
        <v>0</v>
      </c>
      <c r="V357" s="236">
        <v>0</v>
      </c>
      <c r="W357" s="236">
        <v>0</v>
      </c>
      <c r="X357" s="236">
        <v>0</v>
      </c>
      <c r="Y357" s="236">
        <v>0</v>
      </c>
      <c r="Z357" s="236">
        <v>0</v>
      </c>
      <c r="AA357" s="236">
        <v>0</v>
      </c>
      <c r="AB357" s="236">
        <v>0</v>
      </c>
      <c r="AC357" s="236">
        <v>0</v>
      </c>
      <c r="AD357" s="236">
        <v>0</v>
      </c>
      <c r="AE357" s="236">
        <v>0</v>
      </c>
      <c r="AF357" s="236">
        <v>0</v>
      </c>
      <c r="AG357" s="236">
        <v>0</v>
      </c>
      <c r="AH357" s="236">
        <v>0</v>
      </c>
      <c r="AI357" s="236">
        <v>0</v>
      </c>
      <c r="AJ357" s="236">
        <v>0</v>
      </c>
      <c r="AK357" s="236">
        <v>0</v>
      </c>
      <c r="AL357" s="236">
        <v>0</v>
      </c>
      <c r="AM357" s="236">
        <v>0</v>
      </c>
      <c r="AN357" s="236">
        <v>0</v>
      </c>
      <c r="AO357" s="236">
        <v>0</v>
      </c>
      <c r="AP357" s="236">
        <v>0</v>
      </c>
      <c r="AQ357" s="236">
        <v>0</v>
      </c>
      <c r="AR357" s="236">
        <v>0</v>
      </c>
      <c r="AS357" s="236">
        <v>0</v>
      </c>
      <c r="AT357" s="236">
        <v>0</v>
      </c>
      <c r="AU357" s="236">
        <v>0</v>
      </c>
      <c r="AV357" s="236">
        <v>0</v>
      </c>
      <c r="AW357" s="236">
        <v>0</v>
      </c>
      <c r="AX357" s="236">
        <v>0</v>
      </c>
      <c r="AY357" s="236">
        <v>0</v>
      </c>
      <c r="AZ357" s="236">
        <v>0</v>
      </c>
      <c r="BA357" s="236">
        <v>0</v>
      </c>
      <c r="BB357" s="236">
        <v>0</v>
      </c>
      <c r="BC357" s="236">
        <v>0</v>
      </c>
      <c r="BD357" s="236">
        <v>0</v>
      </c>
      <c r="BE357" s="1288">
        <v>0</v>
      </c>
      <c r="BF357" s="249"/>
    </row>
    <row r="358" spans="2:58" x14ac:dyDescent="0.25">
      <c r="B358" s="222"/>
      <c r="C358" s="228" t="s">
        <v>77</v>
      </c>
      <c r="D358" s="228"/>
      <c r="E358" s="228"/>
      <c r="F358" s="228"/>
      <c r="G358" s="238">
        <v>0</v>
      </c>
      <c r="H358" s="238">
        <f>-H352</f>
        <v>0</v>
      </c>
      <c r="I358" s="238">
        <f t="shared" ref="I358:W358" si="127">-I352</f>
        <v>0</v>
      </c>
      <c r="J358" s="238">
        <f t="shared" si="127"/>
        <v>0</v>
      </c>
      <c r="K358" s="238">
        <f t="shared" si="127"/>
        <v>0</v>
      </c>
      <c r="L358" s="238">
        <f t="shared" si="127"/>
        <v>0</v>
      </c>
      <c r="M358" s="238">
        <f t="shared" si="127"/>
        <v>0</v>
      </c>
      <c r="N358" s="238">
        <f t="shared" si="127"/>
        <v>0</v>
      </c>
      <c r="O358" s="238">
        <f t="shared" si="127"/>
        <v>0</v>
      </c>
      <c r="P358" s="238">
        <f t="shared" si="127"/>
        <v>0</v>
      </c>
      <c r="Q358" s="238">
        <f t="shared" si="127"/>
        <v>0</v>
      </c>
      <c r="R358" s="238">
        <f t="shared" si="127"/>
        <v>0</v>
      </c>
      <c r="S358" s="238">
        <f t="shared" si="127"/>
        <v>0</v>
      </c>
      <c r="T358" s="238">
        <f t="shared" si="127"/>
        <v>0</v>
      </c>
      <c r="U358" s="238">
        <f t="shared" si="127"/>
        <v>0</v>
      </c>
      <c r="V358" s="238">
        <f t="shared" si="127"/>
        <v>0</v>
      </c>
      <c r="W358" s="238">
        <f t="shared" si="127"/>
        <v>0</v>
      </c>
      <c r="X358" s="238">
        <f t="shared" ref="X358:BE358" si="128">-X352</f>
        <v>0</v>
      </c>
      <c r="Y358" s="238">
        <f t="shared" si="128"/>
        <v>0</v>
      </c>
      <c r="Z358" s="238">
        <f t="shared" si="128"/>
        <v>0</v>
      </c>
      <c r="AA358" s="238">
        <f t="shared" si="128"/>
        <v>0</v>
      </c>
      <c r="AB358" s="238">
        <f t="shared" si="128"/>
        <v>0</v>
      </c>
      <c r="AC358" s="238">
        <f t="shared" si="128"/>
        <v>0</v>
      </c>
      <c r="AD358" s="238">
        <f t="shared" si="128"/>
        <v>0</v>
      </c>
      <c r="AE358" s="238">
        <f t="shared" si="128"/>
        <v>0</v>
      </c>
      <c r="AF358" s="238">
        <f t="shared" si="128"/>
        <v>0</v>
      </c>
      <c r="AG358" s="238">
        <f t="shared" si="128"/>
        <v>0</v>
      </c>
      <c r="AH358" s="238">
        <f t="shared" si="128"/>
        <v>0</v>
      </c>
      <c r="AI358" s="238">
        <f t="shared" si="128"/>
        <v>0</v>
      </c>
      <c r="AJ358" s="238">
        <f t="shared" si="128"/>
        <v>0</v>
      </c>
      <c r="AK358" s="238">
        <f t="shared" si="128"/>
        <v>0</v>
      </c>
      <c r="AL358" s="238">
        <f t="shared" si="128"/>
        <v>0</v>
      </c>
      <c r="AM358" s="238">
        <f t="shared" si="128"/>
        <v>0</v>
      </c>
      <c r="AN358" s="238">
        <f t="shared" si="128"/>
        <v>0</v>
      </c>
      <c r="AO358" s="238">
        <f t="shared" si="128"/>
        <v>0</v>
      </c>
      <c r="AP358" s="238">
        <f t="shared" si="128"/>
        <v>0</v>
      </c>
      <c r="AQ358" s="238">
        <f t="shared" si="128"/>
        <v>0</v>
      </c>
      <c r="AR358" s="238">
        <f t="shared" si="128"/>
        <v>0</v>
      </c>
      <c r="AS358" s="238">
        <f t="shared" si="128"/>
        <v>0</v>
      </c>
      <c r="AT358" s="238">
        <f t="shared" si="128"/>
        <v>0</v>
      </c>
      <c r="AU358" s="238">
        <f t="shared" si="128"/>
        <v>0</v>
      </c>
      <c r="AV358" s="238">
        <f t="shared" si="128"/>
        <v>0</v>
      </c>
      <c r="AW358" s="238">
        <f t="shared" si="128"/>
        <v>0</v>
      </c>
      <c r="AX358" s="238">
        <f t="shared" si="128"/>
        <v>0</v>
      </c>
      <c r="AY358" s="238">
        <f t="shared" si="128"/>
        <v>0</v>
      </c>
      <c r="AZ358" s="238">
        <f t="shared" si="128"/>
        <v>0</v>
      </c>
      <c r="BA358" s="238">
        <f t="shared" si="128"/>
        <v>0</v>
      </c>
      <c r="BB358" s="238">
        <f t="shared" si="128"/>
        <v>0</v>
      </c>
      <c r="BC358" s="238">
        <f t="shared" si="128"/>
        <v>0</v>
      </c>
      <c r="BD358" s="238">
        <f t="shared" si="128"/>
        <v>0</v>
      </c>
      <c r="BE358" s="1289">
        <f t="shared" si="128"/>
        <v>0</v>
      </c>
      <c r="BF358" s="249"/>
    </row>
    <row r="359" spans="2:58" x14ac:dyDescent="0.25">
      <c r="B359" s="222"/>
      <c r="C359" s="220" t="s">
        <v>66</v>
      </c>
      <c r="D359" s="220"/>
      <c r="E359" s="220"/>
      <c r="F359" s="220"/>
      <c r="G359" s="236">
        <f>SUM(G356:G358)</f>
        <v>0</v>
      </c>
      <c r="H359" s="236">
        <f>SUM(H356:H358)</f>
        <v>0</v>
      </c>
      <c r="I359" s="236">
        <f t="shared" ref="I359:W359" si="129">SUM(I356:I358)</f>
        <v>0</v>
      </c>
      <c r="J359" s="236">
        <f t="shared" si="129"/>
        <v>0</v>
      </c>
      <c r="K359" s="236">
        <f t="shared" si="129"/>
        <v>0</v>
      </c>
      <c r="L359" s="236">
        <f t="shared" si="129"/>
        <v>0</v>
      </c>
      <c r="M359" s="236">
        <f t="shared" si="129"/>
        <v>0</v>
      </c>
      <c r="N359" s="236">
        <f t="shared" si="129"/>
        <v>0</v>
      </c>
      <c r="O359" s="236">
        <f t="shared" si="129"/>
        <v>0</v>
      </c>
      <c r="P359" s="236">
        <f t="shared" si="129"/>
        <v>0</v>
      </c>
      <c r="Q359" s="236">
        <f t="shared" si="129"/>
        <v>0</v>
      </c>
      <c r="R359" s="236">
        <f t="shared" si="129"/>
        <v>0</v>
      </c>
      <c r="S359" s="236">
        <f t="shared" si="129"/>
        <v>0</v>
      </c>
      <c r="T359" s="236">
        <f t="shared" si="129"/>
        <v>0</v>
      </c>
      <c r="U359" s="236">
        <f t="shared" si="129"/>
        <v>0</v>
      </c>
      <c r="V359" s="236">
        <f t="shared" si="129"/>
        <v>0</v>
      </c>
      <c r="W359" s="236">
        <f t="shared" si="129"/>
        <v>0</v>
      </c>
      <c r="X359" s="236">
        <f t="shared" ref="X359:BE359" si="130">SUM(X356:X358)</f>
        <v>0</v>
      </c>
      <c r="Y359" s="236">
        <f t="shared" si="130"/>
        <v>0</v>
      </c>
      <c r="Z359" s="236">
        <f t="shared" si="130"/>
        <v>0</v>
      </c>
      <c r="AA359" s="236">
        <f t="shared" si="130"/>
        <v>0</v>
      </c>
      <c r="AB359" s="236">
        <f t="shared" si="130"/>
        <v>0</v>
      </c>
      <c r="AC359" s="236">
        <f t="shared" si="130"/>
        <v>0</v>
      </c>
      <c r="AD359" s="236">
        <f t="shared" si="130"/>
        <v>0</v>
      </c>
      <c r="AE359" s="236">
        <f t="shared" si="130"/>
        <v>0</v>
      </c>
      <c r="AF359" s="236">
        <f t="shared" si="130"/>
        <v>0</v>
      </c>
      <c r="AG359" s="236">
        <f t="shared" si="130"/>
        <v>0</v>
      </c>
      <c r="AH359" s="236">
        <f t="shared" si="130"/>
        <v>0</v>
      </c>
      <c r="AI359" s="236">
        <f t="shared" si="130"/>
        <v>0</v>
      </c>
      <c r="AJ359" s="236">
        <f t="shared" si="130"/>
        <v>0</v>
      </c>
      <c r="AK359" s="236">
        <f t="shared" si="130"/>
        <v>0</v>
      </c>
      <c r="AL359" s="236">
        <f t="shared" si="130"/>
        <v>0</v>
      </c>
      <c r="AM359" s="236">
        <f t="shared" si="130"/>
        <v>0</v>
      </c>
      <c r="AN359" s="236">
        <f t="shared" si="130"/>
        <v>0</v>
      </c>
      <c r="AO359" s="236">
        <f t="shared" si="130"/>
        <v>0</v>
      </c>
      <c r="AP359" s="236">
        <f t="shared" si="130"/>
        <v>0</v>
      </c>
      <c r="AQ359" s="236">
        <f t="shared" si="130"/>
        <v>0</v>
      </c>
      <c r="AR359" s="236">
        <f t="shared" si="130"/>
        <v>0</v>
      </c>
      <c r="AS359" s="236">
        <f t="shared" si="130"/>
        <v>0</v>
      </c>
      <c r="AT359" s="236">
        <f t="shared" si="130"/>
        <v>0</v>
      </c>
      <c r="AU359" s="236">
        <f t="shared" si="130"/>
        <v>0</v>
      </c>
      <c r="AV359" s="236">
        <f t="shared" si="130"/>
        <v>0</v>
      </c>
      <c r="AW359" s="236">
        <f t="shared" si="130"/>
        <v>0</v>
      </c>
      <c r="AX359" s="236">
        <f t="shared" si="130"/>
        <v>0</v>
      </c>
      <c r="AY359" s="236">
        <f t="shared" si="130"/>
        <v>0</v>
      </c>
      <c r="AZ359" s="236">
        <f t="shared" si="130"/>
        <v>0</v>
      </c>
      <c r="BA359" s="236">
        <f t="shared" si="130"/>
        <v>0</v>
      </c>
      <c r="BB359" s="236">
        <f t="shared" si="130"/>
        <v>0</v>
      </c>
      <c r="BC359" s="236">
        <f t="shared" si="130"/>
        <v>0</v>
      </c>
      <c r="BD359" s="236">
        <f t="shared" si="130"/>
        <v>0</v>
      </c>
      <c r="BE359" s="1288">
        <f t="shared" si="130"/>
        <v>0</v>
      </c>
      <c r="BF359" s="249"/>
    </row>
    <row r="360" spans="2:58" x14ac:dyDescent="0.25">
      <c r="B360" s="222"/>
      <c r="C360" s="220"/>
      <c r="D360" s="220"/>
      <c r="E360" s="220"/>
      <c r="F360" s="220"/>
      <c r="G360" s="236"/>
      <c r="H360" s="236"/>
      <c r="I360" s="236"/>
      <c r="J360" s="236"/>
      <c r="K360" s="236"/>
      <c r="L360" s="236"/>
      <c r="M360" s="236"/>
      <c r="N360" s="236"/>
      <c r="O360" s="236"/>
      <c r="P360" s="236"/>
      <c r="Q360" s="236"/>
      <c r="R360" s="236"/>
      <c r="S360" s="236"/>
      <c r="T360" s="236"/>
      <c r="U360" s="236"/>
      <c r="V360" s="236"/>
      <c r="W360" s="236"/>
      <c r="X360" s="236"/>
      <c r="Y360" s="236"/>
      <c r="Z360" s="236"/>
      <c r="AA360" s="236"/>
      <c r="AB360" s="236"/>
      <c r="AC360" s="236"/>
      <c r="AD360" s="236"/>
      <c r="AE360" s="236"/>
      <c r="AF360" s="236"/>
      <c r="AG360" s="236"/>
      <c r="AH360" s="236"/>
      <c r="AI360" s="236"/>
      <c r="AJ360" s="236"/>
      <c r="AK360" s="236"/>
      <c r="AL360" s="236"/>
      <c r="AM360" s="236"/>
      <c r="AN360" s="236"/>
      <c r="AO360" s="236"/>
      <c r="AP360" s="236"/>
      <c r="AQ360" s="236"/>
      <c r="AR360" s="236"/>
      <c r="AS360" s="236"/>
      <c r="AT360" s="236"/>
      <c r="AU360" s="236"/>
      <c r="AV360" s="236"/>
      <c r="AW360" s="236"/>
      <c r="AX360" s="236"/>
      <c r="AY360" s="236"/>
      <c r="AZ360" s="236"/>
      <c r="BA360" s="236"/>
      <c r="BB360" s="236"/>
      <c r="BC360" s="236"/>
      <c r="BD360" s="236"/>
      <c r="BE360" s="1288"/>
      <c r="BF360" s="249"/>
    </row>
    <row r="361" spans="2:58" x14ac:dyDescent="0.25">
      <c r="B361" s="222"/>
      <c r="C361" s="385" t="s">
        <v>71</v>
      </c>
      <c r="D361" s="220"/>
      <c r="E361" s="220"/>
      <c r="F361" s="220"/>
      <c r="G361" s="236"/>
      <c r="H361" s="236"/>
      <c r="I361" s="236"/>
      <c r="J361" s="236"/>
      <c r="K361" s="236"/>
      <c r="L361" s="236"/>
      <c r="M361" s="236"/>
      <c r="N361" s="236"/>
      <c r="O361" s="236"/>
      <c r="P361" s="236"/>
      <c r="Q361" s="236"/>
      <c r="R361" s="236"/>
      <c r="S361" s="236"/>
      <c r="T361" s="236"/>
      <c r="U361" s="236"/>
      <c r="V361" s="236"/>
      <c r="W361" s="236"/>
      <c r="X361" s="236"/>
      <c r="Y361" s="236"/>
      <c r="Z361" s="236"/>
      <c r="AA361" s="236"/>
      <c r="AB361" s="236"/>
      <c r="AC361" s="236"/>
      <c r="AD361" s="236"/>
      <c r="AE361" s="236"/>
      <c r="AF361" s="236"/>
      <c r="AG361" s="236"/>
      <c r="AH361" s="236"/>
      <c r="AI361" s="236"/>
      <c r="AJ361" s="236"/>
      <c r="AK361" s="236"/>
      <c r="AL361" s="236"/>
      <c r="AM361" s="236"/>
      <c r="AN361" s="236"/>
      <c r="AO361" s="236"/>
      <c r="AP361" s="236"/>
      <c r="AQ361" s="236"/>
      <c r="AR361" s="236"/>
      <c r="AS361" s="236"/>
      <c r="AT361" s="236"/>
      <c r="AU361" s="236"/>
      <c r="AV361" s="236"/>
      <c r="AW361" s="236"/>
      <c r="AX361" s="236"/>
      <c r="AY361" s="236"/>
      <c r="AZ361" s="236"/>
      <c r="BA361" s="236"/>
      <c r="BB361" s="236"/>
      <c r="BC361" s="236"/>
      <c r="BD361" s="236"/>
      <c r="BE361" s="1288"/>
      <c r="BF361" s="249"/>
    </row>
    <row r="362" spans="2:58" x14ac:dyDescent="0.25">
      <c r="B362" s="222"/>
      <c r="C362" s="220" t="s">
        <v>236</v>
      </c>
      <c r="D362" s="220"/>
      <c r="E362" s="220"/>
      <c r="F362" s="220"/>
      <c r="G362" s="236"/>
      <c r="H362" s="236">
        <f>IF($G$346&gt;0, $G$346*'II. Inputs, Baseline Energy Mix'!$N$51/10000,0)</f>
        <v>0</v>
      </c>
      <c r="I362" s="236">
        <v>0</v>
      </c>
      <c r="J362" s="236">
        <v>0</v>
      </c>
      <c r="K362" s="236">
        <v>0</v>
      </c>
      <c r="L362" s="236">
        <v>0</v>
      </c>
      <c r="M362" s="236">
        <v>0</v>
      </c>
      <c r="N362" s="236">
        <v>0</v>
      </c>
      <c r="O362" s="236">
        <v>0</v>
      </c>
      <c r="P362" s="236">
        <v>0</v>
      </c>
      <c r="Q362" s="236">
        <v>0</v>
      </c>
      <c r="R362" s="236">
        <v>0</v>
      </c>
      <c r="S362" s="236">
        <v>0</v>
      </c>
      <c r="T362" s="236">
        <v>0</v>
      </c>
      <c r="U362" s="236">
        <v>0</v>
      </c>
      <c r="V362" s="236">
        <v>0</v>
      </c>
      <c r="W362" s="236">
        <v>0</v>
      </c>
      <c r="X362" s="236">
        <v>0</v>
      </c>
      <c r="Y362" s="236">
        <v>0</v>
      </c>
      <c r="Z362" s="236">
        <v>0</v>
      </c>
      <c r="AA362" s="236">
        <v>0</v>
      </c>
      <c r="AB362" s="236">
        <v>0</v>
      </c>
      <c r="AC362" s="236">
        <v>0</v>
      </c>
      <c r="AD362" s="236">
        <v>0</v>
      </c>
      <c r="AE362" s="236">
        <v>0</v>
      </c>
      <c r="AF362" s="236">
        <v>0</v>
      </c>
      <c r="AG362" s="236">
        <v>0</v>
      </c>
      <c r="AH362" s="236">
        <v>0</v>
      </c>
      <c r="AI362" s="236">
        <v>0</v>
      </c>
      <c r="AJ362" s="236">
        <v>0</v>
      </c>
      <c r="AK362" s="236">
        <v>0</v>
      </c>
      <c r="AL362" s="236">
        <v>0</v>
      </c>
      <c r="AM362" s="236">
        <v>0</v>
      </c>
      <c r="AN362" s="236">
        <v>0</v>
      </c>
      <c r="AO362" s="236">
        <v>0</v>
      </c>
      <c r="AP362" s="236">
        <v>0</v>
      </c>
      <c r="AQ362" s="236">
        <v>0</v>
      </c>
      <c r="AR362" s="236">
        <v>0</v>
      </c>
      <c r="AS362" s="236">
        <v>0</v>
      </c>
      <c r="AT362" s="236">
        <v>0</v>
      </c>
      <c r="AU362" s="236">
        <v>0</v>
      </c>
      <c r="AV362" s="236">
        <v>0</v>
      </c>
      <c r="AW362" s="236">
        <v>0</v>
      </c>
      <c r="AX362" s="236">
        <v>0</v>
      </c>
      <c r="AY362" s="236">
        <v>0</v>
      </c>
      <c r="AZ362" s="236">
        <v>0</v>
      </c>
      <c r="BA362" s="236">
        <v>0</v>
      </c>
      <c r="BB362" s="236">
        <v>0</v>
      </c>
      <c r="BC362" s="236">
        <v>0</v>
      </c>
      <c r="BD362" s="236">
        <v>0</v>
      </c>
      <c r="BE362" s="1288">
        <v>0</v>
      </c>
      <c r="BF362" s="249"/>
    </row>
    <row r="363" spans="2:58" x14ac:dyDescent="0.25">
      <c r="B363" s="222"/>
      <c r="C363" s="220"/>
      <c r="D363" s="220"/>
      <c r="E363" s="220"/>
      <c r="F363" s="220"/>
      <c r="G363" s="220"/>
      <c r="H363" s="220"/>
      <c r="I363" s="220"/>
      <c r="J363" s="220"/>
      <c r="K363" s="220"/>
      <c r="L363" s="220"/>
      <c r="M363" s="220"/>
      <c r="N363" s="220"/>
      <c r="O363" s="220"/>
      <c r="P363" s="220"/>
      <c r="Q363" s="220"/>
      <c r="R363" s="220"/>
      <c r="S363" s="220"/>
      <c r="T363" s="220"/>
      <c r="U363" s="220"/>
      <c r="V363" s="220"/>
      <c r="W363" s="220"/>
      <c r="X363" s="220"/>
      <c r="Y363" s="220"/>
      <c r="Z363" s="220"/>
      <c r="AA363" s="220"/>
      <c r="AB363" s="220"/>
      <c r="AC363" s="220"/>
      <c r="AD363" s="220"/>
      <c r="AE363" s="220"/>
      <c r="AF363" s="220"/>
      <c r="AG363" s="220"/>
      <c r="AH363" s="220"/>
      <c r="AI363" s="220"/>
      <c r="AJ363" s="220"/>
      <c r="AK363" s="220"/>
      <c r="AL363" s="220"/>
      <c r="AM363" s="220"/>
      <c r="AN363" s="220"/>
      <c r="AO363" s="220"/>
      <c r="AP363" s="220"/>
      <c r="AQ363" s="220"/>
      <c r="AR363" s="220"/>
      <c r="AS363" s="220"/>
      <c r="AT363" s="220"/>
      <c r="AU363" s="220"/>
      <c r="AV363" s="220"/>
      <c r="AW363" s="220"/>
      <c r="AX363" s="220"/>
      <c r="AY363" s="220"/>
      <c r="AZ363" s="220"/>
      <c r="BA363" s="220"/>
      <c r="BB363" s="220"/>
      <c r="BC363" s="220"/>
      <c r="BD363" s="220"/>
      <c r="BE363" s="221"/>
    </row>
    <row r="364" spans="2:58" x14ac:dyDescent="0.25">
      <c r="B364" s="222"/>
      <c r="C364" s="220"/>
      <c r="D364" s="220"/>
      <c r="E364" s="220"/>
      <c r="F364" s="220"/>
      <c r="G364" s="220"/>
      <c r="H364" s="220"/>
      <c r="I364" s="220"/>
      <c r="J364" s="220"/>
      <c r="K364" s="220"/>
      <c r="L364" s="220"/>
      <c r="M364" s="220"/>
      <c r="N364" s="220"/>
      <c r="O364" s="220"/>
      <c r="P364" s="220"/>
      <c r="Q364" s="220"/>
      <c r="R364" s="220"/>
      <c r="S364" s="220"/>
      <c r="T364" s="220"/>
      <c r="U364" s="220"/>
      <c r="V364" s="220"/>
      <c r="W364" s="220"/>
      <c r="X364" s="220"/>
      <c r="Y364" s="220"/>
      <c r="Z364" s="220"/>
      <c r="AA364" s="220"/>
      <c r="AB364" s="220"/>
      <c r="AC364" s="220"/>
      <c r="AD364" s="220"/>
      <c r="AE364" s="220"/>
      <c r="AF364" s="220"/>
      <c r="AG364" s="220"/>
      <c r="AH364" s="220"/>
      <c r="AI364" s="220"/>
      <c r="AJ364" s="220"/>
      <c r="AK364" s="220"/>
      <c r="AL364" s="220"/>
      <c r="AM364" s="220"/>
      <c r="AN364" s="220"/>
      <c r="AO364" s="220"/>
      <c r="AP364" s="220"/>
      <c r="AQ364" s="220"/>
      <c r="AR364" s="220"/>
      <c r="AS364" s="220"/>
      <c r="AT364" s="220"/>
      <c r="AU364" s="220"/>
      <c r="AV364" s="220"/>
      <c r="AW364" s="220"/>
      <c r="AX364" s="220"/>
      <c r="AY364" s="220"/>
      <c r="AZ364" s="220"/>
      <c r="BA364" s="220"/>
      <c r="BB364" s="220"/>
      <c r="BC364" s="220"/>
      <c r="BD364" s="220"/>
      <c r="BE364" s="221"/>
    </row>
    <row r="365" spans="2:58" x14ac:dyDescent="0.25">
      <c r="B365" s="219" t="s">
        <v>86</v>
      </c>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c r="AX365" s="220"/>
      <c r="AY365" s="220"/>
      <c r="AZ365" s="220"/>
      <c r="BA365" s="220"/>
      <c r="BB365" s="220"/>
      <c r="BC365" s="220"/>
      <c r="BD365" s="220"/>
      <c r="BE365" s="221"/>
    </row>
    <row r="366" spans="2:58" x14ac:dyDescent="0.25">
      <c r="B366" s="222"/>
      <c r="C366" s="382" t="s">
        <v>84</v>
      </c>
      <c r="D366" s="220"/>
      <c r="E366" s="220"/>
      <c r="F366" s="220"/>
      <c r="G366" s="236">
        <f>IF('II. Inputs, Baseline Energy Mix'!$N$15&gt;0, ('II. Inputs, Baseline Energy Mix'!$N$16*'II. Inputs, Baseline Energy Mix'!$N$17*'II. Inputs, Baseline Energy Mix'!$N$29*'II. Inputs, Baseline Energy Mix'!$N$80),0)</f>
        <v>0</v>
      </c>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c r="AX366" s="220"/>
      <c r="AY366" s="220"/>
      <c r="AZ366" s="220"/>
      <c r="BA366" s="220"/>
      <c r="BB366" s="220"/>
      <c r="BC366" s="220"/>
      <c r="BD366" s="220"/>
      <c r="BE366" s="221"/>
    </row>
    <row r="367" spans="2:58" x14ac:dyDescent="0.25">
      <c r="B367" s="222"/>
      <c r="C367" s="382" t="str">
        <f>'II. Inputs, Baseline Energy Mix'!$E$81</f>
        <v xml:space="preserve">Term of Political Risk Insurance </v>
      </c>
      <c r="D367" s="220"/>
      <c r="E367" s="220"/>
      <c r="F367" s="220"/>
      <c r="G367" s="223">
        <f>'II. Inputs, Baseline Energy Mix'!$N$81</f>
        <v>0</v>
      </c>
      <c r="H367" s="220"/>
      <c r="I367" s="220"/>
      <c r="J367" s="220"/>
      <c r="K367" s="220"/>
      <c r="L367" s="220"/>
      <c r="M367" s="220"/>
      <c r="N367" s="220"/>
      <c r="O367" s="220"/>
      <c r="P367" s="220"/>
      <c r="Q367" s="220"/>
      <c r="R367" s="220"/>
      <c r="S367" s="220"/>
      <c r="T367" s="220"/>
      <c r="U367" s="220"/>
      <c r="V367" s="220"/>
      <c r="W367" s="220"/>
      <c r="X367" s="220"/>
      <c r="Y367" s="220"/>
      <c r="Z367" s="220"/>
      <c r="AA367" s="220"/>
      <c r="AB367" s="220"/>
      <c r="AC367" s="220"/>
      <c r="AD367" s="220"/>
      <c r="AE367" s="220"/>
      <c r="AF367" s="220"/>
      <c r="AG367" s="220"/>
      <c r="AH367" s="220"/>
      <c r="AI367" s="220"/>
      <c r="AJ367" s="220"/>
      <c r="AK367" s="220"/>
      <c r="AL367" s="220"/>
      <c r="AM367" s="220"/>
      <c r="AN367" s="220"/>
      <c r="AO367" s="220"/>
      <c r="AP367" s="220"/>
      <c r="AQ367" s="220"/>
      <c r="AR367" s="220"/>
      <c r="AS367" s="220"/>
      <c r="AT367" s="220"/>
      <c r="AU367" s="220"/>
      <c r="AV367" s="220"/>
      <c r="AW367" s="220"/>
      <c r="AX367" s="220"/>
      <c r="AY367" s="220"/>
      <c r="AZ367" s="220"/>
      <c r="BA367" s="220"/>
      <c r="BB367" s="220"/>
      <c r="BC367" s="220"/>
      <c r="BD367" s="220"/>
      <c r="BE367" s="221"/>
    </row>
    <row r="368" spans="2:58" x14ac:dyDescent="0.25">
      <c r="B368" s="222"/>
      <c r="C368" s="382" t="str">
        <f>'II. Inputs, Baseline Energy Mix'!$E$82</f>
        <v xml:space="preserve">Front-end Fee </v>
      </c>
      <c r="D368" s="220"/>
      <c r="E368" s="220"/>
      <c r="F368" s="220"/>
      <c r="G368" s="236">
        <f>'II. Inputs, Baseline Energy Mix'!$N$82</f>
        <v>0</v>
      </c>
      <c r="H368" s="220"/>
      <c r="I368" s="220"/>
      <c r="J368" s="220"/>
      <c r="K368" s="220"/>
      <c r="L368" s="220"/>
      <c r="M368" s="220"/>
      <c r="N368" s="220"/>
      <c r="O368" s="220"/>
      <c r="P368" s="220"/>
      <c r="Q368" s="220"/>
      <c r="R368" s="220"/>
      <c r="S368" s="220"/>
      <c r="T368" s="220"/>
      <c r="U368" s="220"/>
      <c r="V368" s="220"/>
      <c r="W368" s="220"/>
      <c r="X368" s="220"/>
      <c r="Y368" s="220"/>
      <c r="Z368" s="220"/>
      <c r="AA368" s="220"/>
      <c r="AB368" s="220"/>
      <c r="AC368" s="220"/>
      <c r="AD368" s="220"/>
      <c r="AE368" s="220"/>
      <c r="AF368" s="220"/>
      <c r="AG368" s="220"/>
      <c r="AH368" s="220"/>
      <c r="AI368" s="220"/>
      <c r="AJ368" s="220"/>
      <c r="AK368" s="220"/>
      <c r="AL368" s="220"/>
      <c r="AM368" s="220"/>
      <c r="AN368" s="220"/>
      <c r="AO368" s="220"/>
      <c r="AP368" s="220"/>
      <c r="AQ368" s="220"/>
      <c r="AR368" s="220"/>
      <c r="AS368" s="220"/>
      <c r="AT368" s="220"/>
      <c r="AU368" s="220"/>
      <c r="AV368" s="220"/>
      <c r="AW368" s="220"/>
      <c r="AX368" s="220"/>
      <c r="AY368" s="220"/>
      <c r="AZ368" s="220"/>
      <c r="BA368" s="220"/>
      <c r="BB368" s="220"/>
      <c r="BC368" s="220"/>
      <c r="BD368" s="220"/>
      <c r="BE368" s="221"/>
    </row>
    <row r="369" spans="2:58" x14ac:dyDescent="0.25">
      <c r="B369" s="222"/>
      <c r="C369" s="382" t="str">
        <f>'II. Inputs, Baseline Energy Mix'!$E$83</f>
        <v xml:space="preserve">Annual Political Risk Insurance Premium </v>
      </c>
      <c r="D369" s="220"/>
      <c r="E369" s="220"/>
      <c r="F369" s="220"/>
      <c r="G369" s="236">
        <f>'II. Inputs, Baseline Energy Mix'!$N$83</f>
        <v>0</v>
      </c>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20"/>
      <c r="AY369" s="220"/>
      <c r="AZ369" s="220"/>
      <c r="BA369" s="220"/>
      <c r="BB369" s="220"/>
      <c r="BC369" s="220"/>
      <c r="BD369" s="220"/>
      <c r="BE369" s="221"/>
    </row>
    <row r="370" spans="2:58" x14ac:dyDescent="0.25">
      <c r="B370" s="222"/>
      <c r="C370" s="220"/>
      <c r="D370" s="220"/>
      <c r="E370" s="220"/>
      <c r="F370" s="220"/>
      <c r="G370" s="220"/>
      <c r="H370" s="220"/>
      <c r="I370" s="220"/>
      <c r="J370" s="220"/>
      <c r="K370" s="220"/>
      <c r="L370" s="220"/>
      <c r="M370" s="220"/>
      <c r="N370" s="220"/>
      <c r="O370" s="220"/>
      <c r="P370" s="220"/>
      <c r="Q370" s="220"/>
      <c r="R370" s="220"/>
      <c r="S370" s="220"/>
      <c r="T370" s="220"/>
      <c r="U370" s="220"/>
      <c r="V370" s="220"/>
      <c r="W370" s="220"/>
      <c r="X370" s="220"/>
      <c r="Y370" s="220"/>
      <c r="Z370" s="220"/>
      <c r="AA370" s="220"/>
      <c r="AB370" s="220"/>
      <c r="AC370" s="220"/>
      <c r="AD370" s="220"/>
      <c r="AE370" s="220"/>
      <c r="AF370" s="220"/>
      <c r="AG370" s="220"/>
      <c r="AH370" s="220"/>
      <c r="AI370" s="220"/>
      <c r="AJ370" s="220"/>
      <c r="AK370" s="220"/>
      <c r="AL370" s="220"/>
      <c r="AM370" s="220"/>
      <c r="AN370" s="220"/>
      <c r="AO370" s="220"/>
      <c r="AP370" s="220"/>
      <c r="AQ370" s="220"/>
      <c r="AR370" s="220"/>
      <c r="AS370" s="220"/>
      <c r="AT370" s="220"/>
      <c r="AU370" s="220"/>
      <c r="AV370" s="220"/>
      <c r="AW370" s="220"/>
      <c r="AX370" s="220"/>
      <c r="AY370" s="220"/>
      <c r="AZ370" s="220"/>
      <c r="BA370" s="220"/>
      <c r="BB370" s="220"/>
      <c r="BC370" s="220"/>
      <c r="BD370" s="220"/>
      <c r="BE370" s="221"/>
    </row>
    <row r="371" spans="2:58" x14ac:dyDescent="0.25">
      <c r="B371" s="222"/>
      <c r="C371" s="385" t="s">
        <v>71</v>
      </c>
      <c r="D371" s="220"/>
      <c r="E371" s="220"/>
      <c r="F371" s="220"/>
      <c r="G371" s="220"/>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0"/>
      <c r="AY371" s="220"/>
      <c r="AZ371" s="220"/>
      <c r="BA371" s="220"/>
      <c r="BB371" s="220"/>
      <c r="BC371" s="220"/>
      <c r="BD371" s="220"/>
      <c r="BE371" s="221"/>
    </row>
    <row r="372" spans="2:58" x14ac:dyDescent="0.25">
      <c r="B372" s="222"/>
      <c r="C372" s="220" t="str">
        <f>'II. Inputs, Baseline Energy Mix'!$E$82</f>
        <v xml:space="preserve">Front-end Fee </v>
      </c>
      <c r="D372" s="220"/>
      <c r="E372" s="220"/>
      <c r="F372" s="220"/>
      <c r="G372" s="220"/>
      <c r="H372" s="236">
        <f>IF(G366&gt;0, G366*G368/10000, 0)</f>
        <v>0</v>
      </c>
      <c r="I372" s="236">
        <v>0</v>
      </c>
      <c r="J372" s="236">
        <v>0</v>
      </c>
      <c r="K372" s="236">
        <v>0</v>
      </c>
      <c r="L372" s="236">
        <v>0</v>
      </c>
      <c r="M372" s="236">
        <v>0</v>
      </c>
      <c r="N372" s="236">
        <v>0</v>
      </c>
      <c r="O372" s="236">
        <v>0</v>
      </c>
      <c r="P372" s="236">
        <v>0</v>
      </c>
      <c r="Q372" s="236">
        <v>0</v>
      </c>
      <c r="R372" s="236">
        <v>0</v>
      </c>
      <c r="S372" s="236">
        <v>0</v>
      </c>
      <c r="T372" s="236">
        <v>0</v>
      </c>
      <c r="U372" s="236">
        <v>0</v>
      </c>
      <c r="V372" s="236">
        <v>0</v>
      </c>
      <c r="W372" s="236">
        <v>0</v>
      </c>
      <c r="X372" s="236">
        <v>0</v>
      </c>
      <c r="Y372" s="236">
        <v>0</v>
      </c>
      <c r="Z372" s="236">
        <v>0</v>
      </c>
      <c r="AA372" s="236">
        <v>0</v>
      </c>
      <c r="AB372" s="236">
        <v>0</v>
      </c>
      <c r="AC372" s="236">
        <v>0</v>
      </c>
      <c r="AD372" s="236">
        <v>0</v>
      </c>
      <c r="AE372" s="236">
        <v>0</v>
      </c>
      <c r="AF372" s="236">
        <v>0</v>
      </c>
      <c r="AG372" s="236">
        <v>0</v>
      </c>
      <c r="AH372" s="236">
        <v>0</v>
      </c>
      <c r="AI372" s="236">
        <v>0</v>
      </c>
      <c r="AJ372" s="236">
        <v>0</v>
      </c>
      <c r="AK372" s="236">
        <v>0</v>
      </c>
      <c r="AL372" s="236">
        <v>0</v>
      </c>
      <c r="AM372" s="236">
        <v>0</v>
      </c>
      <c r="AN372" s="236">
        <v>0</v>
      </c>
      <c r="AO372" s="236">
        <v>0</v>
      </c>
      <c r="AP372" s="236">
        <v>0</v>
      </c>
      <c r="AQ372" s="236">
        <v>0</v>
      </c>
      <c r="AR372" s="236">
        <v>0</v>
      </c>
      <c r="AS372" s="236">
        <v>0</v>
      </c>
      <c r="AT372" s="236">
        <v>0</v>
      </c>
      <c r="AU372" s="236">
        <v>0</v>
      </c>
      <c r="AV372" s="236">
        <v>0</v>
      </c>
      <c r="AW372" s="236">
        <v>0</v>
      </c>
      <c r="AX372" s="236">
        <v>0</v>
      </c>
      <c r="AY372" s="236">
        <v>0</v>
      </c>
      <c r="AZ372" s="236">
        <v>0</v>
      </c>
      <c r="BA372" s="236">
        <v>0</v>
      </c>
      <c r="BB372" s="236">
        <v>0</v>
      </c>
      <c r="BC372" s="236">
        <v>0</v>
      </c>
      <c r="BD372" s="236">
        <v>0</v>
      </c>
      <c r="BE372" s="1288">
        <v>0</v>
      </c>
    </row>
    <row r="373" spans="2:58" x14ac:dyDescent="0.25">
      <c r="B373" s="222"/>
      <c r="C373" s="228" t="str">
        <f>'II. Inputs, Baseline Energy Mix'!$E$83</f>
        <v xml:space="preserve">Annual Political Risk Insurance Premium </v>
      </c>
      <c r="D373" s="228"/>
      <c r="E373" s="228"/>
      <c r="F373" s="228"/>
      <c r="G373" s="228"/>
      <c r="H373" s="238">
        <f>IF(H$299&gt;$G$367,0,($G$366*$G$369/10000))</f>
        <v>0</v>
      </c>
      <c r="I373" s="238">
        <f t="shared" ref="I373:BE373" si="131">IF(I$299&gt;$G$367,0,($G$366*$G$369/10000))</f>
        <v>0</v>
      </c>
      <c r="J373" s="238">
        <f t="shared" si="131"/>
        <v>0</v>
      </c>
      <c r="K373" s="238">
        <f t="shared" si="131"/>
        <v>0</v>
      </c>
      <c r="L373" s="238">
        <f t="shared" si="131"/>
        <v>0</v>
      </c>
      <c r="M373" s="238">
        <f t="shared" si="131"/>
        <v>0</v>
      </c>
      <c r="N373" s="238">
        <f t="shared" si="131"/>
        <v>0</v>
      </c>
      <c r="O373" s="238">
        <f t="shared" si="131"/>
        <v>0</v>
      </c>
      <c r="P373" s="238">
        <f t="shared" si="131"/>
        <v>0</v>
      </c>
      <c r="Q373" s="238">
        <f t="shared" si="131"/>
        <v>0</v>
      </c>
      <c r="R373" s="238">
        <f t="shared" si="131"/>
        <v>0</v>
      </c>
      <c r="S373" s="238">
        <f t="shared" si="131"/>
        <v>0</v>
      </c>
      <c r="T373" s="238">
        <f t="shared" si="131"/>
        <v>0</v>
      </c>
      <c r="U373" s="238">
        <f t="shared" si="131"/>
        <v>0</v>
      </c>
      <c r="V373" s="238">
        <f t="shared" si="131"/>
        <v>0</v>
      </c>
      <c r="W373" s="238">
        <f t="shared" si="131"/>
        <v>0</v>
      </c>
      <c r="X373" s="238">
        <f t="shared" si="131"/>
        <v>0</v>
      </c>
      <c r="Y373" s="238">
        <f t="shared" si="131"/>
        <v>0</v>
      </c>
      <c r="Z373" s="238">
        <f t="shared" si="131"/>
        <v>0</v>
      </c>
      <c r="AA373" s="238">
        <f t="shared" si="131"/>
        <v>0</v>
      </c>
      <c r="AB373" s="238">
        <f t="shared" si="131"/>
        <v>0</v>
      </c>
      <c r="AC373" s="238">
        <f t="shared" si="131"/>
        <v>0</v>
      </c>
      <c r="AD373" s="238">
        <f t="shared" si="131"/>
        <v>0</v>
      </c>
      <c r="AE373" s="238">
        <f t="shared" si="131"/>
        <v>0</v>
      </c>
      <c r="AF373" s="238">
        <f t="shared" si="131"/>
        <v>0</v>
      </c>
      <c r="AG373" s="238">
        <f t="shared" si="131"/>
        <v>0</v>
      </c>
      <c r="AH373" s="238">
        <f t="shared" si="131"/>
        <v>0</v>
      </c>
      <c r="AI373" s="238">
        <f t="shared" si="131"/>
        <v>0</v>
      </c>
      <c r="AJ373" s="238">
        <f t="shared" si="131"/>
        <v>0</v>
      </c>
      <c r="AK373" s="238">
        <f t="shared" si="131"/>
        <v>0</v>
      </c>
      <c r="AL373" s="238">
        <f t="shared" si="131"/>
        <v>0</v>
      </c>
      <c r="AM373" s="238">
        <f t="shared" si="131"/>
        <v>0</v>
      </c>
      <c r="AN373" s="238">
        <f t="shared" si="131"/>
        <v>0</v>
      </c>
      <c r="AO373" s="238">
        <f t="shared" si="131"/>
        <v>0</v>
      </c>
      <c r="AP373" s="238">
        <f t="shared" si="131"/>
        <v>0</v>
      </c>
      <c r="AQ373" s="238">
        <f t="shared" si="131"/>
        <v>0</v>
      </c>
      <c r="AR373" s="238">
        <f t="shared" si="131"/>
        <v>0</v>
      </c>
      <c r="AS373" s="238">
        <f t="shared" si="131"/>
        <v>0</v>
      </c>
      <c r="AT373" s="238">
        <f t="shared" si="131"/>
        <v>0</v>
      </c>
      <c r="AU373" s="238">
        <f t="shared" si="131"/>
        <v>0</v>
      </c>
      <c r="AV373" s="238">
        <f t="shared" si="131"/>
        <v>0</v>
      </c>
      <c r="AW373" s="238">
        <f t="shared" si="131"/>
        <v>0</v>
      </c>
      <c r="AX373" s="238">
        <f t="shared" si="131"/>
        <v>0</v>
      </c>
      <c r="AY373" s="238">
        <f t="shared" si="131"/>
        <v>0</v>
      </c>
      <c r="AZ373" s="238">
        <f t="shared" si="131"/>
        <v>0</v>
      </c>
      <c r="BA373" s="238">
        <f t="shared" si="131"/>
        <v>0</v>
      </c>
      <c r="BB373" s="238">
        <f t="shared" si="131"/>
        <v>0</v>
      </c>
      <c r="BC373" s="238">
        <f t="shared" si="131"/>
        <v>0</v>
      </c>
      <c r="BD373" s="238">
        <f t="shared" si="131"/>
        <v>0</v>
      </c>
      <c r="BE373" s="1289">
        <f t="shared" si="131"/>
        <v>0</v>
      </c>
    </row>
    <row r="374" spans="2:58" x14ac:dyDescent="0.25">
      <c r="B374" s="222"/>
      <c r="C374" s="220" t="s">
        <v>85</v>
      </c>
      <c r="D374" s="220"/>
      <c r="E374" s="220"/>
      <c r="F374" s="220"/>
      <c r="G374" s="220"/>
      <c r="H374" s="236">
        <f>H372+H373</f>
        <v>0</v>
      </c>
      <c r="I374" s="236">
        <f t="shared" ref="I374:AD374" si="132">I372+I373</f>
        <v>0</v>
      </c>
      <c r="J374" s="236">
        <f t="shared" si="132"/>
        <v>0</v>
      </c>
      <c r="K374" s="236">
        <f t="shared" si="132"/>
        <v>0</v>
      </c>
      <c r="L374" s="236">
        <f t="shared" si="132"/>
        <v>0</v>
      </c>
      <c r="M374" s="236">
        <f t="shared" si="132"/>
        <v>0</v>
      </c>
      <c r="N374" s="236">
        <f t="shared" si="132"/>
        <v>0</v>
      </c>
      <c r="O374" s="236">
        <f t="shared" si="132"/>
        <v>0</v>
      </c>
      <c r="P374" s="236">
        <f t="shared" si="132"/>
        <v>0</v>
      </c>
      <c r="Q374" s="236">
        <f t="shared" si="132"/>
        <v>0</v>
      </c>
      <c r="R374" s="236">
        <f t="shared" si="132"/>
        <v>0</v>
      </c>
      <c r="S374" s="236">
        <f t="shared" si="132"/>
        <v>0</v>
      </c>
      <c r="T374" s="236">
        <f t="shared" si="132"/>
        <v>0</v>
      </c>
      <c r="U374" s="236">
        <f t="shared" si="132"/>
        <v>0</v>
      </c>
      <c r="V374" s="236">
        <f t="shared" si="132"/>
        <v>0</v>
      </c>
      <c r="W374" s="236">
        <f t="shared" si="132"/>
        <v>0</v>
      </c>
      <c r="X374" s="236">
        <f t="shared" si="132"/>
        <v>0</v>
      </c>
      <c r="Y374" s="236">
        <f t="shared" si="132"/>
        <v>0</v>
      </c>
      <c r="Z374" s="236">
        <f t="shared" si="132"/>
        <v>0</v>
      </c>
      <c r="AA374" s="236">
        <f t="shared" si="132"/>
        <v>0</v>
      </c>
      <c r="AB374" s="236">
        <f t="shared" si="132"/>
        <v>0</v>
      </c>
      <c r="AC374" s="236">
        <f t="shared" si="132"/>
        <v>0</v>
      </c>
      <c r="AD374" s="236">
        <f t="shared" si="132"/>
        <v>0</v>
      </c>
      <c r="AE374" s="236">
        <f t="shared" ref="AE374:BE374" si="133">AE372+AE373</f>
        <v>0</v>
      </c>
      <c r="AF374" s="236">
        <f t="shared" si="133"/>
        <v>0</v>
      </c>
      <c r="AG374" s="236">
        <f t="shared" si="133"/>
        <v>0</v>
      </c>
      <c r="AH374" s="236">
        <f t="shared" si="133"/>
        <v>0</v>
      </c>
      <c r="AI374" s="236">
        <f t="shared" si="133"/>
        <v>0</v>
      </c>
      <c r="AJ374" s="236">
        <f t="shared" si="133"/>
        <v>0</v>
      </c>
      <c r="AK374" s="236">
        <f t="shared" si="133"/>
        <v>0</v>
      </c>
      <c r="AL374" s="236">
        <f t="shared" si="133"/>
        <v>0</v>
      </c>
      <c r="AM374" s="236">
        <f t="shared" si="133"/>
        <v>0</v>
      </c>
      <c r="AN374" s="236">
        <f t="shared" si="133"/>
        <v>0</v>
      </c>
      <c r="AO374" s="236">
        <f t="shared" si="133"/>
        <v>0</v>
      </c>
      <c r="AP374" s="236">
        <f t="shared" si="133"/>
        <v>0</v>
      </c>
      <c r="AQ374" s="236">
        <f t="shared" si="133"/>
        <v>0</v>
      </c>
      <c r="AR374" s="236">
        <f t="shared" si="133"/>
        <v>0</v>
      </c>
      <c r="AS374" s="236">
        <f t="shared" si="133"/>
        <v>0</v>
      </c>
      <c r="AT374" s="236">
        <f t="shared" si="133"/>
        <v>0</v>
      </c>
      <c r="AU374" s="236">
        <f t="shared" si="133"/>
        <v>0</v>
      </c>
      <c r="AV374" s="236">
        <f t="shared" si="133"/>
        <v>0</v>
      </c>
      <c r="AW374" s="236">
        <f t="shared" si="133"/>
        <v>0</v>
      </c>
      <c r="AX374" s="236">
        <f t="shared" si="133"/>
        <v>0</v>
      </c>
      <c r="AY374" s="236">
        <f t="shared" si="133"/>
        <v>0</v>
      </c>
      <c r="AZ374" s="236">
        <f t="shared" si="133"/>
        <v>0</v>
      </c>
      <c r="BA374" s="236">
        <f t="shared" si="133"/>
        <v>0</v>
      </c>
      <c r="BB374" s="236">
        <f t="shared" si="133"/>
        <v>0</v>
      </c>
      <c r="BC374" s="236">
        <f t="shared" si="133"/>
        <v>0</v>
      </c>
      <c r="BD374" s="236">
        <f t="shared" si="133"/>
        <v>0</v>
      </c>
      <c r="BE374" s="1288">
        <f t="shared" si="133"/>
        <v>0</v>
      </c>
    </row>
    <row r="375" spans="2:58" ht="13.8" thickBot="1" x14ac:dyDescent="0.3">
      <c r="B375" s="38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c r="AA375" s="246"/>
      <c r="AB375" s="246"/>
      <c r="AC375" s="246"/>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8"/>
    </row>
    <row r="376" spans="2:58" ht="13.8" thickBot="1" x14ac:dyDescent="0.3"/>
    <row r="377" spans="2:58" s="36" customFormat="1" x14ac:dyDescent="0.25">
      <c r="B377" s="250" t="str">
        <f>$B$62</f>
        <v>COAL</v>
      </c>
      <c r="C377" s="251"/>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2"/>
    </row>
    <row r="378" spans="2:58" x14ac:dyDescent="0.25">
      <c r="B378" s="253"/>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c r="AT378" s="254"/>
      <c r="AU378" s="254"/>
      <c r="AV378" s="254"/>
      <c r="AW378" s="254"/>
      <c r="AX378" s="254"/>
      <c r="AY378" s="254"/>
      <c r="AZ378" s="254"/>
      <c r="BA378" s="254"/>
      <c r="BB378" s="254"/>
      <c r="BC378" s="254"/>
      <c r="BD378" s="254"/>
      <c r="BE378" s="255"/>
    </row>
    <row r="379" spans="2:58" x14ac:dyDescent="0.25">
      <c r="B379" s="265" t="s">
        <v>257</v>
      </c>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c r="AT379" s="254"/>
      <c r="AU379" s="254"/>
      <c r="AV379" s="254"/>
      <c r="AW379" s="254"/>
      <c r="AX379" s="254"/>
      <c r="AY379" s="254"/>
      <c r="AZ379" s="254"/>
      <c r="BA379" s="254"/>
      <c r="BB379" s="254"/>
      <c r="BC379" s="254"/>
      <c r="BD379" s="254"/>
      <c r="BE379" s="255"/>
    </row>
    <row r="380" spans="2:58" x14ac:dyDescent="0.25">
      <c r="B380" s="253"/>
      <c r="C380" s="387" t="s">
        <v>68</v>
      </c>
      <c r="D380" s="257" t="s">
        <v>22</v>
      </c>
      <c r="E380" s="254"/>
      <c r="F380" s="254"/>
      <c r="G380" s="264">
        <f>IF('II. Inputs, Baseline Energy Mix'!$O$15&gt;0,('II. Inputs, Baseline Energy Mix'!$O$16*'II. Inputs, Baseline Energy Mix'!$O$17*'II. Inputs, Baseline Energy Mix'!$O$30*'II. Inputs, Baseline Energy Mix'!$O$32),0)</f>
        <v>0</v>
      </c>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c r="AT380" s="254"/>
      <c r="AU380" s="254"/>
      <c r="AV380" s="254"/>
      <c r="AW380" s="254"/>
      <c r="AX380" s="254"/>
      <c r="AY380" s="254"/>
      <c r="AZ380" s="254"/>
      <c r="BA380" s="254"/>
      <c r="BB380" s="254"/>
      <c r="BC380" s="254"/>
      <c r="BD380" s="254"/>
      <c r="BE380" s="255"/>
    </row>
    <row r="381" spans="2:58" x14ac:dyDescent="0.25">
      <c r="B381" s="253"/>
      <c r="C381" s="387" t="s">
        <v>69</v>
      </c>
      <c r="D381" s="257" t="s">
        <v>20</v>
      </c>
      <c r="E381" s="254"/>
      <c r="F381" s="254"/>
      <c r="G381" s="256">
        <f>SUM('II. Inputs, Baseline Energy Mix'!$O$69)</f>
        <v>0</v>
      </c>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c r="AT381" s="254"/>
      <c r="AU381" s="254"/>
      <c r="AV381" s="254"/>
      <c r="AW381" s="254"/>
      <c r="AX381" s="254"/>
      <c r="AY381" s="254"/>
      <c r="AZ381" s="254"/>
      <c r="BA381" s="254"/>
      <c r="BB381" s="254"/>
      <c r="BC381" s="254"/>
      <c r="BD381" s="254"/>
      <c r="BE381" s="255"/>
    </row>
    <row r="382" spans="2:58" x14ac:dyDescent="0.25">
      <c r="B382" s="253"/>
      <c r="C382" s="387" t="s">
        <v>70</v>
      </c>
      <c r="D382" s="257" t="s">
        <v>16</v>
      </c>
      <c r="E382" s="254"/>
      <c r="F382" s="254"/>
      <c r="G382" s="388">
        <f>SUM('II. Inputs, Baseline Energy Mix'!$O$68)</f>
        <v>0</v>
      </c>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c r="AT382" s="254"/>
      <c r="AU382" s="254"/>
      <c r="AV382" s="254"/>
      <c r="AW382" s="254"/>
      <c r="AX382" s="254"/>
      <c r="AY382" s="254"/>
      <c r="AZ382" s="254"/>
      <c r="BA382" s="254"/>
      <c r="BB382" s="254"/>
      <c r="BC382" s="254"/>
      <c r="BD382" s="254"/>
      <c r="BE382" s="255"/>
    </row>
    <row r="383" spans="2:58" x14ac:dyDescent="0.25">
      <c r="B383" s="253"/>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c r="AT383" s="254"/>
      <c r="AU383" s="254"/>
      <c r="AV383" s="254"/>
      <c r="AW383" s="254"/>
      <c r="AX383" s="254"/>
      <c r="AY383" s="254"/>
      <c r="AZ383" s="254"/>
      <c r="BA383" s="254"/>
      <c r="BB383" s="254"/>
      <c r="BC383" s="254"/>
      <c r="BD383" s="254"/>
      <c r="BE383" s="255"/>
    </row>
    <row r="384" spans="2:58" x14ac:dyDescent="0.25">
      <c r="B384" s="253"/>
      <c r="C384" s="389" t="s">
        <v>67</v>
      </c>
      <c r="D384" s="254"/>
      <c r="E384" s="254"/>
      <c r="F384" s="25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1296"/>
      <c r="BF384" s="249"/>
    </row>
    <row r="385" spans="2:58" x14ac:dyDescent="0.25">
      <c r="B385" s="253"/>
      <c r="C385" s="254" t="s">
        <v>73</v>
      </c>
      <c r="D385" s="254"/>
      <c r="E385" s="254"/>
      <c r="F385" s="254"/>
      <c r="G385" s="264"/>
      <c r="H385" s="264">
        <f>IF(H$299&gt;$G381,0,IPMT($G382,H$299,$G381,-$G380))</f>
        <v>0</v>
      </c>
      <c r="I385" s="264">
        <f>IF(I$299&gt;$G381,0,IPMT($G382,I$299,$G381,-$G380))</f>
        <v>0</v>
      </c>
      <c r="J385" s="264">
        <f>IF(J$299&gt;$G381,0,IPMT($G382,J$299,$G381,-$G380))</f>
        <v>0</v>
      </c>
      <c r="K385" s="264">
        <f>IF(K$299&gt;$G381,0,IPMT($G382,K$299,$G381,-$G380))</f>
        <v>0</v>
      </c>
      <c r="L385" s="264">
        <f t="shared" ref="L385:BE385" si="134">IF(L$299&gt;$G381,0,IPMT($G382,L$299,$G381,-$G380))</f>
        <v>0</v>
      </c>
      <c r="M385" s="264">
        <f t="shared" si="134"/>
        <v>0</v>
      </c>
      <c r="N385" s="264">
        <f t="shared" si="134"/>
        <v>0</v>
      </c>
      <c r="O385" s="264">
        <f t="shared" si="134"/>
        <v>0</v>
      </c>
      <c r="P385" s="264">
        <f t="shared" si="134"/>
        <v>0</v>
      </c>
      <c r="Q385" s="264">
        <f t="shared" si="134"/>
        <v>0</v>
      </c>
      <c r="R385" s="264">
        <f t="shared" si="134"/>
        <v>0</v>
      </c>
      <c r="S385" s="264">
        <f t="shared" si="134"/>
        <v>0</v>
      </c>
      <c r="T385" s="264">
        <f t="shared" si="134"/>
        <v>0</v>
      </c>
      <c r="U385" s="264">
        <f t="shared" si="134"/>
        <v>0</v>
      </c>
      <c r="V385" s="264">
        <f t="shared" si="134"/>
        <v>0</v>
      </c>
      <c r="W385" s="264">
        <f t="shared" si="134"/>
        <v>0</v>
      </c>
      <c r="X385" s="264">
        <f t="shared" si="134"/>
        <v>0</v>
      </c>
      <c r="Y385" s="264">
        <f t="shared" si="134"/>
        <v>0</v>
      </c>
      <c r="Z385" s="264">
        <f t="shared" si="134"/>
        <v>0</v>
      </c>
      <c r="AA385" s="264">
        <f t="shared" si="134"/>
        <v>0</v>
      </c>
      <c r="AB385" s="264">
        <f t="shared" si="134"/>
        <v>0</v>
      </c>
      <c r="AC385" s="264">
        <f t="shared" si="134"/>
        <v>0</v>
      </c>
      <c r="AD385" s="264">
        <f t="shared" si="134"/>
        <v>0</v>
      </c>
      <c r="AE385" s="264">
        <f t="shared" si="134"/>
        <v>0</v>
      </c>
      <c r="AF385" s="264">
        <f t="shared" si="134"/>
        <v>0</v>
      </c>
      <c r="AG385" s="264">
        <f t="shared" si="134"/>
        <v>0</v>
      </c>
      <c r="AH385" s="264">
        <f t="shared" si="134"/>
        <v>0</v>
      </c>
      <c r="AI385" s="264">
        <f t="shared" si="134"/>
        <v>0</v>
      </c>
      <c r="AJ385" s="264">
        <f t="shared" si="134"/>
        <v>0</v>
      </c>
      <c r="AK385" s="264">
        <f t="shared" si="134"/>
        <v>0</v>
      </c>
      <c r="AL385" s="264">
        <f t="shared" si="134"/>
        <v>0</v>
      </c>
      <c r="AM385" s="264">
        <f t="shared" si="134"/>
        <v>0</v>
      </c>
      <c r="AN385" s="264">
        <f t="shared" si="134"/>
        <v>0</v>
      </c>
      <c r="AO385" s="264">
        <f t="shared" si="134"/>
        <v>0</v>
      </c>
      <c r="AP385" s="264">
        <f t="shared" si="134"/>
        <v>0</v>
      </c>
      <c r="AQ385" s="264">
        <f t="shared" si="134"/>
        <v>0</v>
      </c>
      <c r="AR385" s="264">
        <f t="shared" si="134"/>
        <v>0</v>
      </c>
      <c r="AS385" s="264">
        <f t="shared" si="134"/>
        <v>0</v>
      </c>
      <c r="AT385" s="264">
        <f t="shared" si="134"/>
        <v>0</v>
      </c>
      <c r="AU385" s="264">
        <f t="shared" si="134"/>
        <v>0</v>
      </c>
      <c r="AV385" s="264">
        <f t="shared" si="134"/>
        <v>0</v>
      </c>
      <c r="AW385" s="264">
        <f t="shared" si="134"/>
        <v>0</v>
      </c>
      <c r="AX385" s="264">
        <f t="shared" si="134"/>
        <v>0</v>
      </c>
      <c r="AY385" s="264">
        <f t="shared" si="134"/>
        <v>0</v>
      </c>
      <c r="AZ385" s="264">
        <f t="shared" si="134"/>
        <v>0</v>
      </c>
      <c r="BA385" s="264">
        <f t="shared" si="134"/>
        <v>0</v>
      </c>
      <c r="BB385" s="264">
        <f t="shared" si="134"/>
        <v>0</v>
      </c>
      <c r="BC385" s="264">
        <f t="shared" si="134"/>
        <v>0</v>
      </c>
      <c r="BD385" s="264">
        <f t="shared" si="134"/>
        <v>0</v>
      </c>
      <c r="BE385" s="1296">
        <f t="shared" si="134"/>
        <v>0</v>
      </c>
      <c r="BF385" s="249"/>
    </row>
    <row r="386" spans="2:58" x14ac:dyDescent="0.25">
      <c r="B386" s="253"/>
      <c r="C386" s="261" t="s">
        <v>72</v>
      </c>
      <c r="D386" s="261"/>
      <c r="E386" s="261"/>
      <c r="F386" s="261"/>
      <c r="G386" s="1297"/>
      <c r="H386" s="1297">
        <f>IF(H$299&gt;$G381,0,PPMT($G382,H$299,$G381,-$G380))</f>
        <v>0</v>
      </c>
      <c r="I386" s="1297">
        <f>IF(I$299&gt;$G381,0,PPMT($G382,I$299,$G381,-$G380))</f>
        <v>0</v>
      </c>
      <c r="J386" s="1297">
        <f>IF(J$299&gt;$G381,0,PPMT($G382,J$299,$G381,-$G380))</f>
        <v>0</v>
      </c>
      <c r="K386" s="1297">
        <f>IF(K$299&gt;$G381,0,PPMT($G382,K$299,$G381,-$G380))</f>
        <v>0</v>
      </c>
      <c r="L386" s="1297">
        <f t="shared" ref="L386:BE386" si="135">IF(L$299&gt;$G381,0,PPMT($G382,L$299,$G381,-$G380))</f>
        <v>0</v>
      </c>
      <c r="M386" s="1297">
        <f t="shared" si="135"/>
        <v>0</v>
      </c>
      <c r="N386" s="1297">
        <f t="shared" si="135"/>
        <v>0</v>
      </c>
      <c r="O386" s="1297">
        <f t="shared" si="135"/>
        <v>0</v>
      </c>
      <c r="P386" s="1297">
        <f t="shared" si="135"/>
        <v>0</v>
      </c>
      <c r="Q386" s="1297">
        <f t="shared" si="135"/>
        <v>0</v>
      </c>
      <c r="R386" s="1297">
        <f t="shared" si="135"/>
        <v>0</v>
      </c>
      <c r="S386" s="1297">
        <f t="shared" si="135"/>
        <v>0</v>
      </c>
      <c r="T386" s="1297">
        <f t="shared" si="135"/>
        <v>0</v>
      </c>
      <c r="U386" s="1297">
        <f t="shared" si="135"/>
        <v>0</v>
      </c>
      <c r="V386" s="1297">
        <f t="shared" si="135"/>
        <v>0</v>
      </c>
      <c r="W386" s="1297">
        <f t="shared" si="135"/>
        <v>0</v>
      </c>
      <c r="X386" s="1297">
        <f t="shared" si="135"/>
        <v>0</v>
      </c>
      <c r="Y386" s="1297">
        <f t="shared" si="135"/>
        <v>0</v>
      </c>
      <c r="Z386" s="1297">
        <f t="shared" si="135"/>
        <v>0</v>
      </c>
      <c r="AA386" s="1297">
        <f t="shared" si="135"/>
        <v>0</v>
      </c>
      <c r="AB386" s="1297">
        <f t="shared" si="135"/>
        <v>0</v>
      </c>
      <c r="AC386" s="1297">
        <f t="shared" si="135"/>
        <v>0</v>
      </c>
      <c r="AD386" s="1297">
        <f t="shared" si="135"/>
        <v>0</v>
      </c>
      <c r="AE386" s="1297">
        <f t="shared" si="135"/>
        <v>0</v>
      </c>
      <c r="AF386" s="1297">
        <f t="shared" si="135"/>
        <v>0</v>
      </c>
      <c r="AG386" s="1297">
        <f t="shared" si="135"/>
        <v>0</v>
      </c>
      <c r="AH386" s="1297">
        <f t="shared" si="135"/>
        <v>0</v>
      </c>
      <c r="AI386" s="1297">
        <f t="shared" si="135"/>
        <v>0</v>
      </c>
      <c r="AJ386" s="1297">
        <f t="shared" si="135"/>
        <v>0</v>
      </c>
      <c r="AK386" s="1297">
        <f t="shared" si="135"/>
        <v>0</v>
      </c>
      <c r="AL386" s="1297">
        <f t="shared" si="135"/>
        <v>0</v>
      </c>
      <c r="AM386" s="1297">
        <f t="shared" si="135"/>
        <v>0</v>
      </c>
      <c r="AN386" s="1297">
        <f t="shared" si="135"/>
        <v>0</v>
      </c>
      <c r="AO386" s="1297">
        <f t="shared" si="135"/>
        <v>0</v>
      </c>
      <c r="AP386" s="1297">
        <f t="shared" si="135"/>
        <v>0</v>
      </c>
      <c r="AQ386" s="1297">
        <f t="shared" si="135"/>
        <v>0</v>
      </c>
      <c r="AR386" s="1297">
        <f t="shared" si="135"/>
        <v>0</v>
      </c>
      <c r="AS386" s="1297">
        <f t="shared" si="135"/>
        <v>0</v>
      </c>
      <c r="AT386" s="1297">
        <f t="shared" si="135"/>
        <v>0</v>
      </c>
      <c r="AU386" s="1297">
        <f t="shared" si="135"/>
        <v>0</v>
      </c>
      <c r="AV386" s="1297">
        <f t="shared" si="135"/>
        <v>0</v>
      </c>
      <c r="AW386" s="1297">
        <f t="shared" si="135"/>
        <v>0</v>
      </c>
      <c r="AX386" s="1297">
        <f t="shared" si="135"/>
        <v>0</v>
      </c>
      <c r="AY386" s="1297">
        <f t="shared" si="135"/>
        <v>0</v>
      </c>
      <c r="AZ386" s="1297">
        <f t="shared" si="135"/>
        <v>0</v>
      </c>
      <c r="BA386" s="1297">
        <f t="shared" si="135"/>
        <v>0</v>
      </c>
      <c r="BB386" s="1297">
        <f t="shared" si="135"/>
        <v>0</v>
      </c>
      <c r="BC386" s="1297">
        <f t="shared" si="135"/>
        <v>0</v>
      </c>
      <c r="BD386" s="1297">
        <f t="shared" si="135"/>
        <v>0</v>
      </c>
      <c r="BE386" s="1298">
        <f t="shared" si="135"/>
        <v>0</v>
      </c>
      <c r="BF386" s="249"/>
    </row>
    <row r="387" spans="2:58" x14ac:dyDescent="0.25">
      <c r="B387" s="253"/>
      <c r="C387" s="254" t="s">
        <v>74</v>
      </c>
      <c r="D387" s="254"/>
      <c r="E387" s="254"/>
      <c r="F387" s="254"/>
      <c r="G387" s="264"/>
      <c r="H387" s="264">
        <f>SUM(H385:H386)</f>
        <v>0</v>
      </c>
      <c r="I387" s="264">
        <f t="shared" ref="I387:BE387" si="136">SUM(I385:I386)</f>
        <v>0</v>
      </c>
      <c r="J387" s="264">
        <f t="shared" si="136"/>
        <v>0</v>
      </c>
      <c r="K387" s="264">
        <f t="shared" si="136"/>
        <v>0</v>
      </c>
      <c r="L387" s="264">
        <f t="shared" si="136"/>
        <v>0</v>
      </c>
      <c r="M387" s="264">
        <f t="shared" si="136"/>
        <v>0</v>
      </c>
      <c r="N387" s="264">
        <f t="shared" si="136"/>
        <v>0</v>
      </c>
      <c r="O387" s="264">
        <f t="shared" si="136"/>
        <v>0</v>
      </c>
      <c r="P387" s="264">
        <f t="shared" si="136"/>
        <v>0</v>
      </c>
      <c r="Q387" s="264">
        <f t="shared" si="136"/>
        <v>0</v>
      </c>
      <c r="R387" s="264">
        <f t="shared" si="136"/>
        <v>0</v>
      </c>
      <c r="S387" s="264">
        <f t="shared" si="136"/>
        <v>0</v>
      </c>
      <c r="T387" s="264">
        <f t="shared" si="136"/>
        <v>0</v>
      </c>
      <c r="U387" s="264">
        <f t="shared" si="136"/>
        <v>0</v>
      </c>
      <c r="V387" s="264">
        <f t="shared" si="136"/>
        <v>0</v>
      </c>
      <c r="W387" s="264">
        <f t="shared" si="136"/>
        <v>0</v>
      </c>
      <c r="X387" s="264">
        <f t="shared" si="136"/>
        <v>0</v>
      </c>
      <c r="Y387" s="264">
        <f t="shared" si="136"/>
        <v>0</v>
      </c>
      <c r="Z387" s="264">
        <f t="shared" si="136"/>
        <v>0</v>
      </c>
      <c r="AA387" s="264">
        <f t="shared" si="136"/>
        <v>0</v>
      </c>
      <c r="AB387" s="264">
        <f t="shared" si="136"/>
        <v>0</v>
      </c>
      <c r="AC387" s="264">
        <f t="shared" si="136"/>
        <v>0</v>
      </c>
      <c r="AD387" s="264">
        <f t="shared" si="136"/>
        <v>0</v>
      </c>
      <c r="AE387" s="264">
        <f t="shared" si="136"/>
        <v>0</v>
      </c>
      <c r="AF387" s="264">
        <f t="shared" si="136"/>
        <v>0</v>
      </c>
      <c r="AG387" s="264">
        <f t="shared" si="136"/>
        <v>0</v>
      </c>
      <c r="AH387" s="264">
        <f t="shared" si="136"/>
        <v>0</v>
      </c>
      <c r="AI387" s="264">
        <f t="shared" si="136"/>
        <v>0</v>
      </c>
      <c r="AJ387" s="264">
        <f t="shared" si="136"/>
        <v>0</v>
      </c>
      <c r="AK387" s="264">
        <f t="shared" si="136"/>
        <v>0</v>
      </c>
      <c r="AL387" s="264">
        <f t="shared" si="136"/>
        <v>0</v>
      </c>
      <c r="AM387" s="264">
        <f t="shared" si="136"/>
        <v>0</v>
      </c>
      <c r="AN387" s="264">
        <f t="shared" si="136"/>
        <v>0</v>
      </c>
      <c r="AO387" s="264">
        <f t="shared" si="136"/>
        <v>0</v>
      </c>
      <c r="AP387" s="264">
        <f t="shared" si="136"/>
        <v>0</v>
      </c>
      <c r="AQ387" s="264">
        <f t="shared" si="136"/>
        <v>0</v>
      </c>
      <c r="AR387" s="264">
        <f t="shared" si="136"/>
        <v>0</v>
      </c>
      <c r="AS387" s="264">
        <f t="shared" si="136"/>
        <v>0</v>
      </c>
      <c r="AT387" s="264">
        <f t="shared" si="136"/>
        <v>0</v>
      </c>
      <c r="AU387" s="264">
        <f t="shared" si="136"/>
        <v>0</v>
      </c>
      <c r="AV387" s="264">
        <f t="shared" si="136"/>
        <v>0</v>
      </c>
      <c r="AW387" s="264">
        <f t="shared" si="136"/>
        <v>0</v>
      </c>
      <c r="AX387" s="264">
        <f t="shared" si="136"/>
        <v>0</v>
      </c>
      <c r="AY387" s="264">
        <f t="shared" si="136"/>
        <v>0</v>
      </c>
      <c r="AZ387" s="264">
        <f t="shared" si="136"/>
        <v>0</v>
      </c>
      <c r="BA387" s="264">
        <f t="shared" si="136"/>
        <v>0</v>
      </c>
      <c r="BB387" s="264">
        <f t="shared" si="136"/>
        <v>0</v>
      </c>
      <c r="BC387" s="264">
        <f t="shared" si="136"/>
        <v>0</v>
      </c>
      <c r="BD387" s="264">
        <f t="shared" si="136"/>
        <v>0</v>
      </c>
      <c r="BE387" s="1296">
        <f t="shared" si="136"/>
        <v>0</v>
      </c>
      <c r="BF387" s="249"/>
    </row>
    <row r="388" spans="2:58" x14ac:dyDescent="0.25">
      <c r="B388" s="253"/>
      <c r="C388" s="254"/>
      <c r="D388" s="254"/>
      <c r="E388" s="254"/>
      <c r="F388" s="25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1296"/>
      <c r="BF388" s="249"/>
    </row>
    <row r="389" spans="2:58" x14ac:dyDescent="0.25">
      <c r="B389" s="253"/>
      <c r="C389" s="390" t="s">
        <v>65</v>
      </c>
      <c r="D389" s="254"/>
      <c r="E389" s="254"/>
      <c r="F389" s="25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1296"/>
      <c r="BF389" s="249"/>
    </row>
    <row r="390" spans="2:58" x14ac:dyDescent="0.25">
      <c r="B390" s="253"/>
      <c r="C390" s="254" t="s">
        <v>75</v>
      </c>
      <c r="D390" s="254"/>
      <c r="E390" s="254"/>
      <c r="F390" s="254"/>
      <c r="G390" s="264">
        <v>0</v>
      </c>
      <c r="H390" s="264">
        <f t="shared" ref="H390:AM390" si="137">G393</f>
        <v>0</v>
      </c>
      <c r="I390" s="264">
        <f t="shared" si="137"/>
        <v>0</v>
      </c>
      <c r="J390" s="264">
        <f t="shared" si="137"/>
        <v>0</v>
      </c>
      <c r="K390" s="264">
        <f t="shared" si="137"/>
        <v>0</v>
      </c>
      <c r="L390" s="264">
        <f t="shared" si="137"/>
        <v>0</v>
      </c>
      <c r="M390" s="264">
        <f t="shared" si="137"/>
        <v>0</v>
      </c>
      <c r="N390" s="264">
        <f t="shared" si="137"/>
        <v>0</v>
      </c>
      <c r="O390" s="264">
        <f t="shared" si="137"/>
        <v>0</v>
      </c>
      <c r="P390" s="264">
        <f t="shared" si="137"/>
        <v>0</v>
      </c>
      <c r="Q390" s="264">
        <f t="shared" si="137"/>
        <v>0</v>
      </c>
      <c r="R390" s="264">
        <f t="shared" si="137"/>
        <v>0</v>
      </c>
      <c r="S390" s="264">
        <f t="shared" si="137"/>
        <v>0</v>
      </c>
      <c r="T390" s="264">
        <f t="shared" si="137"/>
        <v>0</v>
      </c>
      <c r="U390" s="264">
        <f t="shared" si="137"/>
        <v>0</v>
      </c>
      <c r="V390" s="264">
        <f t="shared" si="137"/>
        <v>0</v>
      </c>
      <c r="W390" s="264">
        <f t="shared" si="137"/>
        <v>0</v>
      </c>
      <c r="X390" s="264">
        <f t="shared" si="137"/>
        <v>0</v>
      </c>
      <c r="Y390" s="264">
        <f t="shared" si="137"/>
        <v>0</v>
      </c>
      <c r="Z390" s="264">
        <f t="shared" si="137"/>
        <v>0</v>
      </c>
      <c r="AA390" s="264">
        <f t="shared" si="137"/>
        <v>0</v>
      </c>
      <c r="AB390" s="264">
        <f t="shared" si="137"/>
        <v>0</v>
      </c>
      <c r="AC390" s="264">
        <f t="shared" si="137"/>
        <v>0</v>
      </c>
      <c r="AD390" s="264">
        <f t="shared" si="137"/>
        <v>0</v>
      </c>
      <c r="AE390" s="264">
        <f t="shared" si="137"/>
        <v>0</v>
      </c>
      <c r="AF390" s="264">
        <f t="shared" si="137"/>
        <v>0</v>
      </c>
      <c r="AG390" s="264">
        <f t="shared" si="137"/>
        <v>0</v>
      </c>
      <c r="AH390" s="264">
        <f t="shared" si="137"/>
        <v>0</v>
      </c>
      <c r="AI390" s="264">
        <f t="shared" si="137"/>
        <v>0</v>
      </c>
      <c r="AJ390" s="264">
        <f t="shared" si="137"/>
        <v>0</v>
      </c>
      <c r="AK390" s="264">
        <f t="shared" si="137"/>
        <v>0</v>
      </c>
      <c r="AL390" s="264">
        <f t="shared" si="137"/>
        <v>0</v>
      </c>
      <c r="AM390" s="264">
        <f t="shared" si="137"/>
        <v>0</v>
      </c>
      <c r="AN390" s="264">
        <f t="shared" ref="AN390:BE390" si="138">AM393</f>
        <v>0</v>
      </c>
      <c r="AO390" s="264">
        <f t="shared" si="138"/>
        <v>0</v>
      </c>
      <c r="AP390" s="264">
        <f t="shared" si="138"/>
        <v>0</v>
      </c>
      <c r="AQ390" s="264">
        <f t="shared" si="138"/>
        <v>0</v>
      </c>
      <c r="AR390" s="264">
        <f t="shared" si="138"/>
        <v>0</v>
      </c>
      <c r="AS390" s="264">
        <f t="shared" si="138"/>
        <v>0</v>
      </c>
      <c r="AT390" s="264">
        <f t="shared" si="138"/>
        <v>0</v>
      </c>
      <c r="AU390" s="264">
        <f t="shared" si="138"/>
        <v>0</v>
      </c>
      <c r="AV390" s="264">
        <f t="shared" si="138"/>
        <v>0</v>
      </c>
      <c r="AW390" s="264">
        <f t="shared" si="138"/>
        <v>0</v>
      </c>
      <c r="AX390" s="264">
        <f t="shared" si="138"/>
        <v>0</v>
      </c>
      <c r="AY390" s="264">
        <f t="shared" si="138"/>
        <v>0</v>
      </c>
      <c r="AZ390" s="264">
        <f t="shared" si="138"/>
        <v>0</v>
      </c>
      <c r="BA390" s="264">
        <f t="shared" si="138"/>
        <v>0</v>
      </c>
      <c r="BB390" s="264">
        <f t="shared" si="138"/>
        <v>0</v>
      </c>
      <c r="BC390" s="264">
        <f t="shared" si="138"/>
        <v>0</v>
      </c>
      <c r="BD390" s="264">
        <f t="shared" si="138"/>
        <v>0</v>
      </c>
      <c r="BE390" s="1296">
        <f t="shared" si="138"/>
        <v>0</v>
      </c>
      <c r="BF390" s="249"/>
    </row>
    <row r="391" spans="2:58" x14ac:dyDescent="0.25">
      <c r="B391" s="253"/>
      <c r="C391" s="254" t="s">
        <v>76</v>
      </c>
      <c r="D391" s="254"/>
      <c r="E391" s="254"/>
      <c r="F391" s="254"/>
      <c r="G391" s="264">
        <f>G380</f>
        <v>0</v>
      </c>
      <c r="H391" s="264">
        <v>0</v>
      </c>
      <c r="I391" s="264">
        <v>0</v>
      </c>
      <c r="J391" s="264">
        <v>0</v>
      </c>
      <c r="K391" s="264">
        <v>0</v>
      </c>
      <c r="L391" s="264">
        <v>0</v>
      </c>
      <c r="M391" s="264">
        <v>0</v>
      </c>
      <c r="N391" s="264">
        <v>0</v>
      </c>
      <c r="O391" s="264">
        <v>0</v>
      </c>
      <c r="P391" s="264">
        <v>0</v>
      </c>
      <c r="Q391" s="264">
        <v>0</v>
      </c>
      <c r="R391" s="264">
        <v>0</v>
      </c>
      <c r="S391" s="264">
        <v>0</v>
      </c>
      <c r="T391" s="264">
        <v>0</v>
      </c>
      <c r="U391" s="264">
        <v>0</v>
      </c>
      <c r="V391" s="264">
        <v>0</v>
      </c>
      <c r="W391" s="264">
        <v>0</v>
      </c>
      <c r="X391" s="264">
        <v>0</v>
      </c>
      <c r="Y391" s="264">
        <v>0</v>
      </c>
      <c r="Z391" s="264">
        <v>0</v>
      </c>
      <c r="AA391" s="264">
        <v>0</v>
      </c>
      <c r="AB391" s="264">
        <v>0</v>
      </c>
      <c r="AC391" s="264">
        <v>0</v>
      </c>
      <c r="AD391" s="264">
        <v>0</v>
      </c>
      <c r="AE391" s="264">
        <v>0</v>
      </c>
      <c r="AF391" s="264">
        <v>0</v>
      </c>
      <c r="AG391" s="264">
        <v>0</v>
      </c>
      <c r="AH391" s="264">
        <v>0</v>
      </c>
      <c r="AI391" s="264">
        <v>0</v>
      </c>
      <c r="AJ391" s="264">
        <v>0</v>
      </c>
      <c r="AK391" s="264">
        <v>0</v>
      </c>
      <c r="AL391" s="264">
        <v>0</v>
      </c>
      <c r="AM391" s="264">
        <v>0</v>
      </c>
      <c r="AN391" s="264">
        <v>0</v>
      </c>
      <c r="AO391" s="264">
        <v>0</v>
      </c>
      <c r="AP391" s="264">
        <v>0</v>
      </c>
      <c r="AQ391" s="264">
        <v>0</v>
      </c>
      <c r="AR391" s="264">
        <v>0</v>
      </c>
      <c r="AS391" s="264">
        <v>0</v>
      </c>
      <c r="AT391" s="264">
        <v>0</v>
      </c>
      <c r="AU391" s="264">
        <v>0</v>
      </c>
      <c r="AV391" s="264">
        <v>0</v>
      </c>
      <c r="AW391" s="264">
        <v>0</v>
      </c>
      <c r="AX391" s="264">
        <v>0</v>
      </c>
      <c r="AY391" s="264">
        <v>0</v>
      </c>
      <c r="AZ391" s="264">
        <v>0</v>
      </c>
      <c r="BA391" s="264">
        <v>0</v>
      </c>
      <c r="BB391" s="264">
        <v>0</v>
      </c>
      <c r="BC391" s="264">
        <v>0</v>
      </c>
      <c r="BD391" s="264">
        <v>0</v>
      </c>
      <c r="BE391" s="1296">
        <v>0</v>
      </c>
      <c r="BF391" s="249"/>
    </row>
    <row r="392" spans="2:58" x14ac:dyDescent="0.25">
      <c r="B392" s="253"/>
      <c r="C392" s="261" t="s">
        <v>77</v>
      </c>
      <c r="D392" s="261"/>
      <c r="E392" s="261"/>
      <c r="F392" s="261"/>
      <c r="G392" s="1297">
        <v>0</v>
      </c>
      <c r="H392" s="1297">
        <f t="shared" ref="H392:BE392" si="139">-H386</f>
        <v>0</v>
      </c>
      <c r="I392" s="1297">
        <f t="shared" si="139"/>
        <v>0</v>
      </c>
      <c r="J392" s="1297">
        <f t="shared" si="139"/>
        <v>0</v>
      </c>
      <c r="K392" s="1297">
        <f t="shared" si="139"/>
        <v>0</v>
      </c>
      <c r="L392" s="1297">
        <f t="shared" si="139"/>
        <v>0</v>
      </c>
      <c r="M392" s="1297">
        <f t="shared" si="139"/>
        <v>0</v>
      </c>
      <c r="N392" s="1297">
        <f t="shared" si="139"/>
        <v>0</v>
      </c>
      <c r="O392" s="1297">
        <f t="shared" si="139"/>
        <v>0</v>
      </c>
      <c r="P392" s="1297">
        <f t="shared" si="139"/>
        <v>0</v>
      </c>
      <c r="Q392" s="1297">
        <f t="shared" si="139"/>
        <v>0</v>
      </c>
      <c r="R392" s="1297">
        <f t="shared" si="139"/>
        <v>0</v>
      </c>
      <c r="S392" s="1297">
        <f t="shared" si="139"/>
        <v>0</v>
      </c>
      <c r="T392" s="1297">
        <f t="shared" si="139"/>
        <v>0</v>
      </c>
      <c r="U392" s="1297">
        <f t="shared" si="139"/>
        <v>0</v>
      </c>
      <c r="V392" s="1297">
        <f t="shared" si="139"/>
        <v>0</v>
      </c>
      <c r="W392" s="1297">
        <f t="shared" si="139"/>
        <v>0</v>
      </c>
      <c r="X392" s="1297">
        <f t="shared" si="139"/>
        <v>0</v>
      </c>
      <c r="Y392" s="1297">
        <f t="shared" si="139"/>
        <v>0</v>
      </c>
      <c r="Z392" s="1297">
        <f t="shared" si="139"/>
        <v>0</v>
      </c>
      <c r="AA392" s="1297">
        <f t="shared" si="139"/>
        <v>0</v>
      </c>
      <c r="AB392" s="1297">
        <f t="shared" si="139"/>
        <v>0</v>
      </c>
      <c r="AC392" s="1297">
        <f t="shared" si="139"/>
        <v>0</v>
      </c>
      <c r="AD392" s="1297">
        <f t="shared" si="139"/>
        <v>0</v>
      </c>
      <c r="AE392" s="1297">
        <f t="shared" si="139"/>
        <v>0</v>
      </c>
      <c r="AF392" s="1297">
        <f t="shared" si="139"/>
        <v>0</v>
      </c>
      <c r="AG392" s="1297">
        <f t="shared" si="139"/>
        <v>0</v>
      </c>
      <c r="AH392" s="1297">
        <f t="shared" si="139"/>
        <v>0</v>
      </c>
      <c r="AI392" s="1297">
        <f t="shared" si="139"/>
        <v>0</v>
      </c>
      <c r="AJ392" s="1297">
        <f t="shared" si="139"/>
        <v>0</v>
      </c>
      <c r="AK392" s="1297">
        <f t="shared" si="139"/>
        <v>0</v>
      </c>
      <c r="AL392" s="1297">
        <f t="shared" si="139"/>
        <v>0</v>
      </c>
      <c r="AM392" s="1297">
        <f t="shared" si="139"/>
        <v>0</v>
      </c>
      <c r="AN392" s="1297">
        <f t="shared" si="139"/>
        <v>0</v>
      </c>
      <c r="AO392" s="1297">
        <f t="shared" si="139"/>
        <v>0</v>
      </c>
      <c r="AP392" s="1297">
        <f t="shared" si="139"/>
        <v>0</v>
      </c>
      <c r="AQ392" s="1297">
        <f t="shared" si="139"/>
        <v>0</v>
      </c>
      <c r="AR392" s="1297">
        <f t="shared" si="139"/>
        <v>0</v>
      </c>
      <c r="AS392" s="1297">
        <f t="shared" si="139"/>
        <v>0</v>
      </c>
      <c r="AT392" s="1297">
        <f t="shared" si="139"/>
        <v>0</v>
      </c>
      <c r="AU392" s="1297">
        <f t="shared" si="139"/>
        <v>0</v>
      </c>
      <c r="AV392" s="1297">
        <f t="shared" si="139"/>
        <v>0</v>
      </c>
      <c r="AW392" s="1297">
        <f t="shared" si="139"/>
        <v>0</v>
      </c>
      <c r="AX392" s="1297">
        <f t="shared" si="139"/>
        <v>0</v>
      </c>
      <c r="AY392" s="1297">
        <f t="shared" si="139"/>
        <v>0</v>
      </c>
      <c r="AZ392" s="1297">
        <f t="shared" si="139"/>
        <v>0</v>
      </c>
      <c r="BA392" s="1297">
        <f t="shared" si="139"/>
        <v>0</v>
      </c>
      <c r="BB392" s="1297">
        <f t="shared" si="139"/>
        <v>0</v>
      </c>
      <c r="BC392" s="1297">
        <f t="shared" si="139"/>
        <v>0</v>
      </c>
      <c r="BD392" s="1297">
        <f t="shared" si="139"/>
        <v>0</v>
      </c>
      <c r="BE392" s="1298">
        <f t="shared" si="139"/>
        <v>0</v>
      </c>
      <c r="BF392" s="249"/>
    </row>
    <row r="393" spans="2:58" x14ac:dyDescent="0.25">
      <c r="B393" s="253"/>
      <c r="C393" s="254" t="s">
        <v>66</v>
      </c>
      <c r="D393" s="254"/>
      <c r="E393" s="254"/>
      <c r="F393" s="254"/>
      <c r="G393" s="264">
        <f t="shared" ref="G393:BE393" si="140">SUM(G390:G392)</f>
        <v>0</v>
      </c>
      <c r="H393" s="264">
        <f t="shared" si="140"/>
        <v>0</v>
      </c>
      <c r="I393" s="264">
        <f t="shared" si="140"/>
        <v>0</v>
      </c>
      <c r="J393" s="264">
        <f t="shared" si="140"/>
        <v>0</v>
      </c>
      <c r="K393" s="264">
        <f t="shared" si="140"/>
        <v>0</v>
      </c>
      <c r="L393" s="264">
        <f t="shared" si="140"/>
        <v>0</v>
      </c>
      <c r="M393" s="264">
        <f t="shared" si="140"/>
        <v>0</v>
      </c>
      <c r="N393" s="264">
        <f t="shared" si="140"/>
        <v>0</v>
      </c>
      <c r="O393" s="264">
        <f t="shared" si="140"/>
        <v>0</v>
      </c>
      <c r="P393" s="264">
        <f t="shared" si="140"/>
        <v>0</v>
      </c>
      <c r="Q393" s="264">
        <f t="shared" si="140"/>
        <v>0</v>
      </c>
      <c r="R393" s="264">
        <f t="shared" si="140"/>
        <v>0</v>
      </c>
      <c r="S393" s="264">
        <f t="shared" si="140"/>
        <v>0</v>
      </c>
      <c r="T393" s="264">
        <f t="shared" si="140"/>
        <v>0</v>
      </c>
      <c r="U393" s="264">
        <f t="shared" si="140"/>
        <v>0</v>
      </c>
      <c r="V393" s="264">
        <f t="shared" si="140"/>
        <v>0</v>
      </c>
      <c r="W393" s="264">
        <f t="shared" si="140"/>
        <v>0</v>
      </c>
      <c r="X393" s="264">
        <f t="shared" si="140"/>
        <v>0</v>
      </c>
      <c r="Y393" s="264">
        <f t="shared" si="140"/>
        <v>0</v>
      </c>
      <c r="Z393" s="264">
        <f t="shared" si="140"/>
        <v>0</v>
      </c>
      <c r="AA393" s="264">
        <f t="shared" si="140"/>
        <v>0</v>
      </c>
      <c r="AB393" s="264">
        <f t="shared" si="140"/>
        <v>0</v>
      </c>
      <c r="AC393" s="264">
        <f t="shared" si="140"/>
        <v>0</v>
      </c>
      <c r="AD393" s="264">
        <f t="shared" si="140"/>
        <v>0</v>
      </c>
      <c r="AE393" s="264">
        <f t="shared" si="140"/>
        <v>0</v>
      </c>
      <c r="AF393" s="264">
        <f t="shared" si="140"/>
        <v>0</v>
      </c>
      <c r="AG393" s="264">
        <f t="shared" si="140"/>
        <v>0</v>
      </c>
      <c r="AH393" s="264">
        <f t="shared" si="140"/>
        <v>0</v>
      </c>
      <c r="AI393" s="264">
        <f t="shared" si="140"/>
        <v>0</v>
      </c>
      <c r="AJ393" s="264">
        <f t="shared" si="140"/>
        <v>0</v>
      </c>
      <c r="AK393" s="264">
        <f t="shared" si="140"/>
        <v>0</v>
      </c>
      <c r="AL393" s="264">
        <f t="shared" si="140"/>
        <v>0</v>
      </c>
      <c r="AM393" s="264">
        <f t="shared" si="140"/>
        <v>0</v>
      </c>
      <c r="AN393" s="264">
        <f t="shared" si="140"/>
        <v>0</v>
      </c>
      <c r="AO393" s="264">
        <f t="shared" si="140"/>
        <v>0</v>
      </c>
      <c r="AP393" s="264">
        <f t="shared" si="140"/>
        <v>0</v>
      </c>
      <c r="AQ393" s="264">
        <f t="shared" si="140"/>
        <v>0</v>
      </c>
      <c r="AR393" s="264">
        <f t="shared" si="140"/>
        <v>0</v>
      </c>
      <c r="AS393" s="264">
        <f t="shared" si="140"/>
        <v>0</v>
      </c>
      <c r="AT393" s="264">
        <f t="shared" si="140"/>
        <v>0</v>
      </c>
      <c r="AU393" s="264">
        <f t="shared" si="140"/>
        <v>0</v>
      </c>
      <c r="AV393" s="264">
        <f t="shared" si="140"/>
        <v>0</v>
      </c>
      <c r="AW393" s="264">
        <f t="shared" si="140"/>
        <v>0</v>
      </c>
      <c r="AX393" s="264">
        <f t="shared" si="140"/>
        <v>0</v>
      </c>
      <c r="AY393" s="264">
        <f t="shared" si="140"/>
        <v>0</v>
      </c>
      <c r="AZ393" s="264">
        <f t="shared" si="140"/>
        <v>0</v>
      </c>
      <c r="BA393" s="264">
        <f t="shared" si="140"/>
        <v>0</v>
      </c>
      <c r="BB393" s="264">
        <f t="shared" si="140"/>
        <v>0</v>
      </c>
      <c r="BC393" s="264">
        <f t="shared" si="140"/>
        <v>0</v>
      </c>
      <c r="BD393" s="264">
        <f t="shared" si="140"/>
        <v>0</v>
      </c>
      <c r="BE393" s="1296">
        <f t="shared" si="140"/>
        <v>0</v>
      </c>
      <c r="BF393" s="249"/>
    </row>
    <row r="394" spans="2:58" x14ac:dyDescent="0.25">
      <c r="B394" s="253"/>
      <c r="C394" s="254"/>
      <c r="D394" s="254"/>
      <c r="E394" s="254"/>
      <c r="F394" s="25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1296"/>
      <c r="BF394" s="249"/>
    </row>
    <row r="395" spans="2:58" x14ac:dyDescent="0.25">
      <c r="B395" s="253"/>
      <c r="C395" s="390" t="s">
        <v>71</v>
      </c>
      <c r="D395" s="254"/>
      <c r="E395" s="254"/>
      <c r="F395" s="25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1296"/>
      <c r="BF395" s="249"/>
    </row>
    <row r="396" spans="2:58" x14ac:dyDescent="0.25">
      <c r="B396" s="253"/>
      <c r="C396" s="254" t="str">
        <f>'II. Inputs, Baseline Energy Mix'!$E$70</f>
        <v>Front-end Fee</v>
      </c>
      <c r="D396" s="254"/>
      <c r="E396" s="254"/>
      <c r="F396" s="254"/>
      <c r="G396" s="264"/>
      <c r="H396" s="264">
        <f>IF($G380&gt;0, $G$380*'II. Inputs, Baseline Energy Mix'!$O$70/10000,0)</f>
        <v>0</v>
      </c>
      <c r="I396" s="264">
        <v>0</v>
      </c>
      <c r="J396" s="264">
        <v>0</v>
      </c>
      <c r="K396" s="264">
        <v>0</v>
      </c>
      <c r="L396" s="264">
        <v>0</v>
      </c>
      <c r="M396" s="264">
        <v>0</v>
      </c>
      <c r="N396" s="264">
        <v>0</v>
      </c>
      <c r="O396" s="264">
        <v>0</v>
      </c>
      <c r="P396" s="264">
        <v>0</v>
      </c>
      <c r="Q396" s="264">
        <v>0</v>
      </c>
      <c r="R396" s="264">
        <v>0</v>
      </c>
      <c r="S396" s="264">
        <v>0</v>
      </c>
      <c r="T396" s="264">
        <v>0</v>
      </c>
      <c r="U396" s="264">
        <v>0</v>
      </c>
      <c r="V396" s="264">
        <v>0</v>
      </c>
      <c r="W396" s="264">
        <v>0</v>
      </c>
      <c r="X396" s="264">
        <v>0</v>
      </c>
      <c r="Y396" s="264">
        <v>0</v>
      </c>
      <c r="Z396" s="264">
        <v>0</v>
      </c>
      <c r="AA396" s="264">
        <v>0</v>
      </c>
      <c r="AB396" s="264">
        <v>0</v>
      </c>
      <c r="AC396" s="264">
        <v>0</v>
      </c>
      <c r="AD396" s="264">
        <v>0</v>
      </c>
      <c r="AE396" s="264">
        <v>0</v>
      </c>
      <c r="AF396" s="264">
        <v>0</v>
      </c>
      <c r="AG396" s="264">
        <v>0</v>
      </c>
      <c r="AH396" s="264">
        <v>0</v>
      </c>
      <c r="AI396" s="264">
        <v>0</v>
      </c>
      <c r="AJ396" s="264">
        <v>0</v>
      </c>
      <c r="AK396" s="264">
        <v>0</v>
      </c>
      <c r="AL396" s="264">
        <v>0</v>
      </c>
      <c r="AM396" s="264">
        <v>0</v>
      </c>
      <c r="AN396" s="264">
        <v>0</v>
      </c>
      <c r="AO396" s="264">
        <v>0</v>
      </c>
      <c r="AP396" s="264">
        <v>0</v>
      </c>
      <c r="AQ396" s="264">
        <v>0</v>
      </c>
      <c r="AR396" s="264">
        <v>0</v>
      </c>
      <c r="AS396" s="264">
        <v>0</v>
      </c>
      <c r="AT396" s="264">
        <v>0</v>
      </c>
      <c r="AU396" s="264">
        <v>0</v>
      </c>
      <c r="AV396" s="264">
        <v>0</v>
      </c>
      <c r="AW396" s="264">
        <v>0</v>
      </c>
      <c r="AX396" s="264">
        <v>0</v>
      </c>
      <c r="AY396" s="264">
        <v>0</v>
      </c>
      <c r="AZ396" s="264">
        <v>0</v>
      </c>
      <c r="BA396" s="264">
        <v>0</v>
      </c>
      <c r="BB396" s="264">
        <v>0</v>
      </c>
      <c r="BC396" s="264">
        <v>0</v>
      </c>
      <c r="BD396" s="264">
        <v>0</v>
      </c>
      <c r="BE396" s="1296">
        <v>0</v>
      </c>
      <c r="BF396" s="249"/>
    </row>
    <row r="397" spans="2:58" x14ac:dyDescent="0.25">
      <c r="B397" s="253"/>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c r="AT397" s="254"/>
      <c r="AU397" s="254"/>
      <c r="AV397" s="254"/>
      <c r="AW397" s="254"/>
      <c r="AX397" s="254"/>
      <c r="AY397" s="254"/>
      <c r="AZ397" s="254"/>
      <c r="BA397" s="254"/>
      <c r="BB397" s="254"/>
      <c r="BC397" s="254"/>
      <c r="BD397" s="254"/>
      <c r="BE397" s="255"/>
    </row>
    <row r="398" spans="2:58" x14ac:dyDescent="0.25">
      <c r="B398" s="265" t="s">
        <v>179</v>
      </c>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c r="AT398" s="254"/>
      <c r="AU398" s="254"/>
      <c r="AV398" s="254"/>
      <c r="AW398" s="254"/>
      <c r="AX398" s="254"/>
      <c r="AY398" s="254"/>
      <c r="AZ398" s="254"/>
      <c r="BA398" s="254"/>
      <c r="BB398" s="254"/>
      <c r="BC398" s="254"/>
      <c r="BD398" s="254"/>
      <c r="BE398" s="255"/>
    </row>
    <row r="399" spans="2:58" x14ac:dyDescent="0.25">
      <c r="B399" s="253"/>
      <c r="C399" s="387" t="s">
        <v>68</v>
      </c>
      <c r="D399" s="257" t="s">
        <v>22</v>
      </c>
      <c r="E399" s="254"/>
      <c r="F399" s="254"/>
      <c r="G399" s="264">
        <f>IF('II. Inputs, Baseline Energy Mix'!$O$15&gt;0,('II. Inputs, Baseline Energy Mix'!$O$16*'II. Inputs, Baseline Energy Mix'!$O$17*'II. Inputs, Baseline Energy Mix'!$O$30*'II. Inputs, Baseline Energy Mix'!$O$33),0)</f>
        <v>0</v>
      </c>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c r="AT399" s="254"/>
      <c r="AU399" s="254"/>
      <c r="AV399" s="254"/>
      <c r="AW399" s="254"/>
      <c r="AX399" s="254"/>
      <c r="AY399" s="254"/>
      <c r="AZ399" s="254"/>
      <c r="BA399" s="254"/>
      <c r="BB399" s="254"/>
      <c r="BC399" s="254"/>
      <c r="BD399" s="254"/>
      <c r="BE399" s="255"/>
    </row>
    <row r="400" spans="2:58" x14ac:dyDescent="0.25">
      <c r="B400" s="253"/>
      <c r="C400" s="387" t="s">
        <v>69</v>
      </c>
      <c r="D400" s="257" t="s">
        <v>20</v>
      </c>
      <c r="E400" s="254"/>
      <c r="F400" s="254"/>
      <c r="G400" s="256">
        <f>SUM('II. Inputs, Baseline Energy Mix'!$O$73)</f>
        <v>0</v>
      </c>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c r="AT400" s="254"/>
      <c r="AU400" s="254"/>
      <c r="AV400" s="254"/>
      <c r="AW400" s="254"/>
      <c r="AX400" s="254"/>
      <c r="AY400" s="254"/>
      <c r="AZ400" s="254"/>
      <c r="BA400" s="254"/>
      <c r="BB400" s="254"/>
      <c r="BC400" s="254"/>
      <c r="BD400" s="254"/>
      <c r="BE400" s="255"/>
    </row>
    <row r="401" spans="2:58" x14ac:dyDescent="0.25">
      <c r="B401" s="253"/>
      <c r="C401" s="387" t="s">
        <v>70</v>
      </c>
      <c r="D401" s="257" t="s">
        <v>16</v>
      </c>
      <c r="E401" s="254"/>
      <c r="F401" s="254"/>
      <c r="G401" s="388">
        <f>SUM('II. Inputs, Baseline Energy Mix'!$O$72)</f>
        <v>0</v>
      </c>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c r="AT401" s="254"/>
      <c r="AU401" s="254"/>
      <c r="AV401" s="254"/>
      <c r="AW401" s="254"/>
      <c r="AX401" s="254"/>
      <c r="AY401" s="254"/>
      <c r="AZ401" s="254"/>
      <c r="BA401" s="254"/>
      <c r="BB401" s="254"/>
      <c r="BC401" s="254"/>
      <c r="BD401" s="254"/>
      <c r="BE401" s="255"/>
    </row>
    <row r="402" spans="2:58" x14ac:dyDescent="0.25">
      <c r="B402" s="253"/>
      <c r="C402" s="387" t="str">
        <f>'II. Inputs, Baseline Energy Mix'!$E$75</f>
        <v>Guarantee Coverage, as a % of Commercial Loan Value</v>
      </c>
      <c r="D402" s="257" t="s">
        <v>16</v>
      </c>
      <c r="E402" s="254"/>
      <c r="F402" s="254"/>
      <c r="G402" s="391">
        <f>SUM('II. Inputs, Baseline Energy Mix'!$O$75)</f>
        <v>0</v>
      </c>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c r="AT402" s="254"/>
      <c r="AU402" s="254"/>
      <c r="AV402" s="254"/>
      <c r="AW402" s="254"/>
      <c r="AX402" s="254"/>
      <c r="AY402" s="254"/>
      <c r="AZ402" s="254"/>
      <c r="BA402" s="254"/>
      <c r="BB402" s="254"/>
      <c r="BC402" s="254"/>
      <c r="BD402" s="254"/>
      <c r="BE402" s="255"/>
    </row>
    <row r="403" spans="2:58" x14ac:dyDescent="0.25">
      <c r="B403" s="253"/>
      <c r="C403" s="387" t="str">
        <f>'II. Inputs, Baseline Energy Mix'!$E$76</f>
        <v xml:space="preserve">Term of Public Guarantee Coverage </v>
      </c>
      <c r="D403" s="257" t="s">
        <v>20</v>
      </c>
      <c r="E403" s="254"/>
      <c r="F403" s="254"/>
      <c r="G403" s="256">
        <f>'II. Inputs, Baseline Energy Mix'!$O$76</f>
        <v>0</v>
      </c>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c r="AT403" s="254"/>
      <c r="AU403" s="254"/>
      <c r="AV403" s="254"/>
      <c r="AW403" s="254"/>
      <c r="AX403" s="254"/>
      <c r="AY403" s="254"/>
      <c r="AZ403" s="254"/>
      <c r="BA403" s="254"/>
      <c r="BB403" s="254"/>
      <c r="BC403" s="254"/>
      <c r="BD403" s="254"/>
      <c r="BE403" s="255"/>
    </row>
    <row r="404" spans="2:58" x14ac:dyDescent="0.25">
      <c r="B404" s="253"/>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c r="AT404" s="254"/>
      <c r="AU404" s="254"/>
      <c r="AV404" s="254"/>
      <c r="AW404" s="254"/>
      <c r="AX404" s="254"/>
      <c r="AY404" s="254"/>
      <c r="AZ404" s="254"/>
      <c r="BA404" s="254"/>
      <c r="BB404" s="254"/>
      <c r="BC404" s="254"/>
      <c r="BD404" s="254"/>
      <c r="BE404" s="255"/>
    </row>
    <row r="405" spans="2:58" x14ac:dyDescent="0.25">
      <c r="B405" s="253"/>
      <c r="C405" s="389" t="s">
        <v>67</v>
      </c>
      <c r="D405" s="254"/>
      <c r="E405" s="254"/>
      <c r="F405" s="254"/>
      <c r="G405" s="1178"/>
      <c r="H405" s="1178"/>
      <c r="I405" s="1178"/>
      <c r="J405" s="1178"/>
      <c r="K405" s="1178"/>
      <c r="L405" s="1178"/>
      <c r="M405" s="1178"/>
      <c r="N405" s="1178"/>
      <c r="O405" s="1178"/>
      <c r="P405" s="1178"/>
      <c r="Q405" s="1178"/>
      <c r="R405" s="1178"/>
      <c r="S405" s="1178"/>
      <c r="T405" s="1178"/>
      <c r="U405" s="1178"/>
      <c r="V405" s="1178"/>
      <c r="W405" s="1178"/>
      <c r="X405" s="1178"/>
      <c r="Y405" s="1178"/>
      <c r="Z405" s="1178"/>
      <c r="AA405" s="1178"/>
      <c r="AB405" s="1178"/>
      <c r="AC405" s="1178"/>
      <c r="AD405" s="1178"/>
      <c r="AE405" s="1178"/>
      <c r="AF405" s="1178"/>
      <c r="AG405" s="1178"/>
      <c r="AH405" s="1178"/>
      <c r="AI405" s="1178"/>
      <c r="AJ405" s="1178"/>
      <c r="AK405" s="1178"/>
      <c r="AL405" s="1178"/>
      <c r="AM405" s="1178"/>
      <c r="AN405" s="1178"/>
      <c r="AO405" s="1178"/>
      <c r="AP405" s="1178"/>
      <c r="AQ405" s="1178"/>
      <c r="AR405" s="1178"/>
      <c r="AS405" s="1178"/>
      <c r="AT405" s="1178"/>
      <c r="AU405" s="1178"/>
      <c r="AV405" s="1178"/>
      <c r="AW405" s="1178"/>
      <c r="AX405" s="1178"/>
      <c r="AY405" s="1178"/>
      <c r="AZ405" s="1178"/>
      <c r="BA405" s="1178"/>
      <c r="BB405" s="1178"/>
      <c r="BC405" s="1178"/>
      <c r="BD405" s="1178"/>
      <c r="BE405" s="1179"/>
      <c r="BF405" s="1192"/>
    </row>
    <row r="406" spans="2:58" x14ac:dyDescent="0.25">
      <c r="B406" s="253"/>
      <c r="C406" s="254" t="s">
        <v>73</v>
      </c>
      <c r="D406" s="254"/>
      <c r="E406" s="254"/>
      <c r="F406" s="254"/>
      <c r="G406" s="264"/>
      <c r="H406" s="264">
        <f>IF(H$299&gt;$G400,0,IPMT($G401,H$299,$G400,-$G399))</f>
        <v>0</v>
      </c>
      <c r="I406" s="264">
        <f t="shared" ref="I406:BE406" si="141">IF(I$299&gt;$G400,0,IPMT($G401,I$299,$G400,-$G399))</f>
        <v>0</v>
      </c>
      <c r="J406" s="264">
        <f t="shared" si="141"/>
        <v>0</v>
      </c>
      <c r="K406" s="264">
        <f t="shared" si="141"/>
        <v>0</v>
      </c>
      <c r="L406" s="264">
        <f t="shared" si="141"/>
        <v>0</v>
      </c>
      <c r="M406" s="264">
        <f t="shared" si="141"/>
        <v>0</v>
      </c>
      <c r="N406" s="264">
        <f t="shared" si="141"/>
        <v>0</v>
      </c>
      <c r="O406" s="264">
        <f t="shared" si="141"/>
        <v>0</v>
      </c>
      <c r="P406" s="264">
        <f t="shared" si="141"/>
        <v>0</v>
      </c>
      <c r="Q406" s="264">
        <f t="shared" si="141"/>
        <v>0</v>
      </c>
      <c r="R406" s="264">
        <f t="shared" si="141"/>
        <v>0</v>
      </c>
      <c r="S406" s="264">
        <f t="shared" si="141"/>
        <v>0</v>
      </c>
      <c r="T406" s="264">
        <f t="shared" si="141"/>
        <v>0</v>
      </c>
      <c r="U406" s="264">
        <f t="shared" si="141"/>
        <v>0</v>
      </c>
      <c r="V406" s="264">
        <f t="shared" si="141"/>
        <v>0</v>
      </c>
      <c r="W406" s="264">
        <f t="shared" si="141"/>
        <v>0</v>
      </c>
      <c r="X406" s="264">
        <f t="shared" si="141"/>
        <v>0</v>
      </c>
      <c r="Y406" s="264">
        <f t="shared" si="141"/>
        <v>0</v>
      </c>
      <c r="Z406" s="264">
        <f t="shared" si="141"/>
        <v>0</v>
      </c>
      <c r="AA406" s="264">
        <f t="shared" si="141"/>
        <v>0</v>
      </c>
      <c r="AB406" s="264">
        <f t="shared" si="141"/>
        <v>0</v>
      </c>
      <c r="AC406" s="264">
        <f t="shared" si="141"/>
        <v>0</v>
      </c>
      <c r="AD406" s="264">
        <f t="shared" si="141"/>
        <v>0</v>
      </c>
      <c r="AE406" s="264">
        <f t="shared" si="141"/>
        <v>0</v>
      </c>
      <c r="AF406" s="264">
        <f t="shared" si="141"/>
        <v>0</v>
      </c>
      <c r="AG406" s="264">
        <f t="shared" si="141"/>
        <v>0</v>
      </c>
      <c r="AH406" s="264">
        <f t="shared" si="141"/>
        <v>0</v>
      </c>
      <c r="AI406" s="264">
        <f t="shared" si="141"/>
        <v>0</v>
      </c>
      <c r="AJ406" s="264">
        <f t="shared" si="141"/>
        <v>0</v>
      </c>
      <c r="AK406" s="264">
        <f t="shared" si="141"/>
        <v>0</v>
      </c>
      <c r="AL406" s="264">
        <f t="shared" si="141"/>
        <v>0</v>
      </c>
      <c r="AM406" s="264">
        <f t="shared" si="141"/>
        <v>0</v>
      </c>
      <c r="AN406" s="264">
        <f t="shared" si="141"/>
        <v>0</v>
      </c>
      <c r="AO406" s="264">
        <f t="shared" si="141"/>
        <v>0</v>
      </c>
      <c r="AP406" s="264">
        <f t="shared" si="141"/>
        <v>0</v>
      </c>
      <c r="AQ406" s="264">
        <f t="shared" si="141"/>
        <v>0</v>
      </c>
      <c r="AR406" s="264">
        <f t="shared" si="141"/>
        <v>0</v>
      </c>
      <c r="AS406" s="264">
        <f t="shared" si="141"/>
        <v>0</v>
      </c>
      <c r="AT406" s="264">
        <f t="shared" si="141"/>
        <v>0</v>
      </c>
      <c r="AU406" s="264">
        <f t="shared" si="141"/>
        <v>0</v>
      </c>
      <c r="AV406" s="264">
        <f t="shared" si="141"/>
        <v>0</v>
      </c>
      <c r="AW406" s="264">
        <f t="shared" si="141"/>
        <v>0</v>
      </c>
      <c r="AX406" s="264">
        <f t="shared" si="141"/>
        <v>0</v>
      </c>
      <c r="AY406" s="264">
        <f t="shared" si="141"/>
        <v>0</v>
      </c>
      <c r="AZ406" s="264">
        <f t="shared" si="141"/>
        <v>0</v>
      </c>
      <c r="BA406" s="264">
        <f t="shared" si="141"/>
        <v>0</v>
      </c>
      <c r="BB406" s="264">
        <f t="shared" si="141"/>
        <v>0</v>
      </c>
      <c r="BC406" s="264">
        <f t="shared" si="141"/>
        <v>0</v>
      </c>
      <c r="BD406" s="264">
        <f t="shared" si="141"/>
        <v>0</v>
      </c>
      <c r="BE406" s="1296">
        <f t="shared" si="141"/>
        <v>0</v>
      </c>
      <c r="BF406" s="1192"/>
    </row>
    <row r="407" spans="2:58" x14ac:dyDescent="0.25">
      <c r="B407" s="253"/>
      <c r="C407" s="261" t="s">
        <v>72</v>
      </c>
      <c r="D407" s="261"/>
      <c r="E407" s="261"/>
      <c r="F407" s="261"/>
      <c r="G407" s="1297"/>
      <c r="H407" s="1297">
        <f>IF(H$299&gt;$G400,0,PPMT($G401,H$299,$G400,-$G399))</f>
        <v>0</v>
      </c>
      <c r="I407" s="1297">
        <f t="shared" ref="I407:BE407" si="142">IF(I$299&gt;$G400,0,PPMT($G401,I$299,$G400,-$G399))</f>
        <v>0</v>
      </c>
      <c r="J407" s="1297">
        <f t="shared" si="142"/>
        <v>0</v>
      </c>
      <c r="K407" s="1297">
        <f t="shared" si="142"/>
        <v>0</v>
      </c>
      <c r="L407" s="1297">
        <f t="shared" si="142"/>
        <v>0</v>
      </c>
      <c r="M407" s="1297">
        <f t="shared" si="142"/>
        <v>0</v>
      </c>
      <c r="N407" s="1297">
        <f t="shared" si="142"/>
        <v>0</v>
      </c>
      <c r="O407" s="1297">
        <f t="shared" si="142"/>
        <v>0</v>
      </c>
      <c r="P407" s="1297">
        <f t="shared" si="142"/>
        <v>0</v>
      </c>
      <c r="Q407" s="1297">
        <f t="shared" si="142"/>
        <v>0</v>
      </c>
      <c r="R407" s="1297">
        <f t="shared" si="142"/>
        <v>0</v>
      </c>
      <c r="S407" s="1297">
        <f t="shared" si="142"/>
        <v>0</v>
      </c>
      <c r="T407" s="1297">
        <f t="shared" si="142"/>
        <v>0</v>
      </c>
      <c r="U407" s="1297">
        <f t="shared" si="142"/>
        <v>0</v>
      </c>
      <c r="V407" s="1297">
        <f t="shared" si="142"/>
        <v>0</v>
      </c>
      <c r="W407" s="1297">
        <f t="shared" si="142"/>
        <v>0</v>
      </c>
      <c r="X407" s="1297">
        <f t="shared" si="142"/>
        <v>0</v>
      </c>
      <c r="Y407" s="1297">
        <f t="shared" si="142"/>
        <v>0</v>
      </c>
      <c r="Z407" s="1297">
        <f t="shared" si="142"/>
        <v>0</v>
      </c>
      <c r="AA407" s="1297">
        <f t="shared" si="142"/>
        <v>0</v>
      </c>
      <c r="AB407" s="1297">
        <f t="shared" si="142"/>
        <v>0</v>
      </c>
      <c r="AC407" s="1297">
        <f t="shared" si="142"/>
        <v>0</v>
      </c>
      <c r="AD407" s="1297">
        <f t="shared" si="142"/>
        <v>0</v>
      </c>
      <c r="AE407" s="1297">
        <f t="shared" si="142"/>
        <v>0</v>
      </c>
      <c r="AF407" s="1297">
        <f t="shared" si="142"/>
        <v>0</v>
      </c>
      <c r="AG407" s="1297">
        <f t="shared" si="142"/>
        <v>0</v>
      </c>
      <c r="AH407" s="1297">
        <f t="shared" si="142"/>
        <v>0</v>
      </c>
      <c r="AI407" s="1297">
        <f t="shared" si="142"/>
        <v>0</v>
      </c>
      <c r="AJ407" s="1297">
        <f t="shared" si="142"/>
        <v>0</v>
      </c>
      <c r="AK407" s="1297">
        <f t="shared" si="142"/>
        <v>0</v>
      </c>
      <c r="AL407" s="1297">
        <f t="shared" si="142"/>
        <v>0</v>
      </c>
      <c r="AM407" s="1297">
        <f t="shared" si="142"/>
        <v>0</v>
      </c>
      <c r="AN407" s="1297">
        <f t="shared" si="142"/>
        <v>0</v>
      </c>
      <c r="AO407" s="1297">
        <f t="shared" si="142"/>
        <v>0</v>
      </c>
      <c r="AP407" s="1297">
        <f t="shared" si="142"/>
        <v>0</v>
      </c>
      <c r="AQ407" s="1297">
        <f t="shared" si="142"/>
        <v>0</v>
      </c>
      <c r="AR407" s="1297">
        <f t="shared" si="142"/>
        <v>0</v>
      </c>
      <c r="AS407" s="1297">
        <f t="shared" si="142"/>
        <v>0</v>
      </c>
      <c r="AT407" s="1297">
        <f t="shared" si="142"/>
        <v>0</v>
      </c>
      <c r="AU407" s="1297">
        <f t="shared" si="142"/>
        <v>0</v>
      </c>
      <c r="AV407" s="1297">
        <f t="shared" si="142"/>
        <v>0</v>
      </c>
      <c r="AW407" s="1297">
        <f t="shared" si="142"/>
        <v>0</v>
      </c>
      <c r="AX407" s="1297">
        <f t="shared" si="142"/>
        <v>0</v>
      </c>
      <c r="AY407" s="1297">
        <f t="shared" si="142"/>
        <v>0</v>
      </c>
      <c r="AZ407" s="1297">
        <f t="shared" si="142"/>
        <v>0</v>
      </c>
      <c r="BA407" s="1297">
        <f t="shared" si="142"/>
        <v>0</v>
      </c>
      <c r="BB407" s="1297">
        <f t="shared" si="142"/>
        <v>0</v>
      </c>
      <c r="BC407" s="1297">
        <f t="shared" si="142"/>
        <v>0</v>
      </c>
      <c r="BD407" s="1297">
        <f t="shared" si="142"/>
        <v>0</v>
      </c>
      <c r="BE407" s="1298">
        <f t="shared" si="142"/>
        <v>0</v>
      </c>
      <c r="BF407" s="1192"/>
    </row>
    <row r="408" spans="2:58" x14ac:dyDescent="0.25">
      <c r="B408" s="253"/>
      <c r="C408" s="254" t="s">
        <v>74</v>
      </c>
      <c r="D408" s="254"/>
      <c r="E408" s="254"/>
      <c r="F408" s="254"/>
      <c r="G408" s="264"/>
      <c r="H408" s="264">
        <f>SUM(H406:H407)</f>
        <v>0</v>
      </c>
      <c r="I408" s="264">
        <f t="shared" ref="I408:BE408" si="143">SUM(I406:I407)</f>
        <v>0</v>
      </c>
      <c r="J408" s="264">
        <f t="shared" si="143"/>
        <v>0</v>
      </c>
      <c r="K408" s="264">
        <f t="shared" si="143"/>
        <v>0</v>
      </c>
      <c r="L408" s="264">
        <f t="shared" si="143"/>
        <v>0</v>
      </c>
      <c r="M408" s="264">
        <f t="shared" si="143"/>
        <v>0</v>
      </c>
      <c r="N408" s="264">
        <f t="shared" si="143"/>
        <v>0</v>
      </c>
      <c r="O408" s="264">
        <f t="shared" si="143"/>
        <v>0</v>
      </c>
      <c r="P408" s="264">
        <f t="shared" si="143"/>
        <v>0</v>
      </c>
      <c r="Q408" s="264">
        <f t="shared" si="143"/>
        <v>0</v>
      </c>
      <c r="R408" s="264">
        <f t="shared" si="143"/>
        <v>0</v>
      </c>
      <c r="S408" s="264">
        <f t="shared" si="143"/>
        <v>0</v>
      </c>
      <c r="T408" s="264">
        <f t="shared" si="143"/>
        <v>0</v>
      </c>
      <c r="U408" s="264">
        <f t="shared" si="143"/>
        <v>0</v>
      </c>
      <c r="V408" s="264">
        <f t="shared" si="143"/>
        <v>0</v>
      </c>
      <c r="W408" s="264">
        <f t="shared" si="143"/>
        <v>0</v>
      </c>
      <c r="X408" s="264">
        <f t="shared" si="143"/>
        <v>0</v>
      </c>
      <c r="Y408" s="264">
        <f t="shared" si="143"/>
        <v>0</v>
      </c>
      <c r="Z408" s="264">
        <f t="shared" si="143"/>
        <v>0</v>
      </c>
      <c r="AA408" s="264">
        <f t="shared" si="143"/>
        <v>0</v>
      </c>
      <c r="AB408" s="264">
        <f t="shared" si="143"/>
        <v>0</v>
      </c>
      <c r="AC408" s="264">
        <f t="shared" si="143"/>
        <v>0</v>
      </c>
      <c r="AD408" s="264">
        <f t="shared" si="143"/>
        <v>0</v>
      </c>
      <c r="AE408" s="264">
        <f t="shared" si="143"/>
        <v>0</v>
      </c>
      <c r="AF408" s="264">
        <f t="shared" si="143"/>
        <v>0</v>
      </c>
      <c r="AG408" s="264">
        <f t="shared" si="143"/>
        <v>0</v>
      </c>
      <c r="AH408" s="264">
        <f t="shared" si="143"/>
        <v>0</v>
      </c>
      <c r="AI408" s="264">
        <f t="shared" si="143"/>
        <v>0</v>
      </c>
      <c r="AJ408" s="264">
        <f t="shared" si="143"/>
        <v>0</v>
      </c>
      <c r="AK408" s="264">
        <f t="shared" si="143"/>
        <v>0</v>
      </c>
      <c r="AL408" s="264">
        <f t="shared" si="143"/>
        <v>0</v>
      </c>
      <c r="AM408" s="264">
        <f t="shared" si="143"/>
        <v>0</v>
      </c>
      <c r="AN408" s="264">
        <f t="shared" si="143"/>
        <v>0</v>
      </c>
      <c r="AO408" s="264">
        <f t="shared" si="143"/>
        <v>0</v>
      </c>
      <c r="AP408" s="264">
        <f t="shared" si="143"/>
        <v>0</v>
      </c>
      <c r="AQ408" s="264">
        <f t="shared" si="143"/>
        <v>0</v>
      </c>
      <c r="AR408" s="264">
        <f t="shared" si="143"/>
        <v>0</v>
      </c>
      <c r="AS408" s="264">
        <f t="shared" si="143"/>
        <v>0</v>
      </c>
      <c r="AT408" s="264">
        <f t="shared" si="143"/>
        <v>0</v>
      </c>
      <c r="AU408" s="264">
        <f t="shared" si="143"/>
        <v>0</v>
      </c>
      <c r="AV408" s="264">
        <f t="shared" si="143"/>
        <v>0</v>
      </c>
      <c r="AW408" s="264">
        <f t="shared" si="143"/>
        <v>0</v>
      </c>
      <c r="AX408" s="264">
        <f t="shared" si="143"/>
        <v>0</v>
      </c>
      <c r="AY408" s="264">
        <f t="shared" si="143"/>
        <v>0</v>
      </c>
      <c r="AZ408" s="264">
        <f t="shared" si="143"/>
        <v>0</v>
      </c>
      <c r="BA408" s="264">
        <f t="shared" si="143"/>
        <v>0</v>
      </c>
      <c r="BB408" s="264">
        <f t="shared" si="143"/>
        <v>0</v>
      </c>
      <c r="BC408" s="264">
        <f t="shared" si="143"/>
        <v>0</v>
      </c>
      <c r="BD408" s="264">
        <f t="shared" si="143"/>
        <v>0</v>
      </c>
      <c r="BE408" s="1296">
        <f t="shared" si="143"/>
        <v>0</v>
      </c>
      <c r="BF408" s="1192"/>
    </row>
    <row r="409" spans="2:58" x14ac:dyDescent="0.25">
      <c r="B409" s="253"/>
      <c r="C409" s="254"/>
      <c r="D409" s="254"/>
      <c r="E409" s="254"/>
      <c r="F409" s="25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1296"/>
      <c r="BF409" s="1192"/>
    </row>
    <row r="410" spans="2:58" x14ac:dyDescent="0.25">
      <c r="B410" s="253"/>
      <c r="C410" s="390" t="s">
        <v>65</v>
      </c>
      <c r="D410" s="254"/>
      <c r="E410" s="254"/>
      <c r="F410" s="25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1296"/>
      <c r="BF410" s="1192"/>
    </row>
    <row r="411" spans="2:58" x14ac:dyDescent="0.25">
      <c r="B411" s="253"/>
      <c r="C411" s="254" t="s">
        <v>75</v>
      </c>
      <c r="D411" s="254"/>
      <c r="E411" s="254"/>
      <c r="F411" s="254"/>
      <c r="G411" s="264">
        <v>0</v>
      </c>
      <c r="H411" s="264">
        <f t="shared" ref="H411:AM411" si="144">G414</f>
        <v>0</v>
      </c>
      <c r="I411" s="264">
        <f t="shared" si="144"/>
        <v>0</v>
      </c>
      <c r="J411" s="264">
        <f t="shared" si="144"/>
        <v>0</v>
      </c>
      <c r="K411" s="264">
        <f t="shared" si="144"/>
        <v>0</v>
      </c>
      <c r="L411" s="264">
        <f t="shared" si="144"/>
        <v>0</v>
      </c>
      <c r="M411" s="264">
        <f t="shared" si="144"/>
        <v>0</v>
      </c>
      <c r="N411" s="264">
        <f t="shared" si="144"/>
        <v>0</v>
      </c>
      <c r="O411" s="264">
        <f t="shared" si="144"/>
        <v>0</v>
      </c>
      <c r="P411" s="264">
        <f t="shared" si="144"/>
        <v>0</v>
      </c>
      <c r="Q411" s="264">
        <f t="shared" si="144"/>
        <v>0</v>
      </c>
      <c r="R411" s="264">
        <f t="shared" si="144"/>
        <v>0</v>
      </c>
      <c r="S411" s="264">
        <f t="shared" si="144"/>
        <v>0</v>
      </c>
      <c r="T411" s="264">
        <f t="shared" si="144"/>
        <v>0</v>
      </c>
      <c r="U411" s="264">
        <f t="shared" si="144"/>
        <v>0</v>
      </c>
      <c r="V411" s="264">
        <f t="shared" si="144"/>
        <v>0</v>
      </c>
      <c r="W411" s="264">
        <f t="shared" si="144"/>
        <v>0</v>
      </c>
      <c r="X411" s="264">
        <f t="shared" si="144"/>
        <v>0</v>
      </c>
      <c r="Y411" s="264">
        <f t="shared" si="144"/>
        <v>0</v>
      </c>
      <c r="Z411" s="264">
        <f t="shared" si="144"/>
        <v>0</v>
      </c>
      <c r="AA411" s="264">
        <f t="shared" si="144"/>
        <v>0</v>
      </c>
      <c r="AB411" s="264">
        <f t="shared" si="144"/>
        <v>0</v>
      </c>
      <c r="AC411" s="264">
        <f t="shared" si="144"/>
        <v>0</v>
      </c>
      <c r="AD411" s="264">
        <f t="shared" si="144"/>
        <v>0</v>
      </c>
      <c r="AE411" s="264">
        <f t="shared" si="144"/>
        <v>0</v>
      </c>
      <c r="AF411" s="264">
        <f t="shared" si="144"/>
        <v>0</v>
      </c>
      <c r="AG411" s="264">
        <f t="shared" si="144"/>
        <v>0</v>
      </c>
      <c r="AH411" s="264">
        <f t="shared" si="144"/>
        <v>0</v>
      </c>
      <c r="AI411" s="264">
        <f t="shared" si="144"/>
        <v>0</v>
      </c>
      <c r="AJ411" s="264">
        <f t="shared" si="144"/>
        <v>0</v>
      </c>
      <c r="AK411" s="264">
        <f t="shared" si="144"/>
        <v>0</v>
      </c>
      <c r="AL411" s="264">
        <f t="shared" si="144"/>
        <v>0</v>
      </c>
      <c r="AM411" s="264">
        <f t="shared" si="144"/>
        <v>0</v>
      </c>
      <c r="AN411" s="264">
        <f t="shared" ref="AN411:BE411" si="145">AM414</f>
        <v>0</v>
      </c>
      <c r="AO411" s="264">
        <f t="shared" si="145"/>
        <v>0</v>
      </c>
      <c r="AP411" s="264">
        <f t="shared" si="145"/>
        <v>0</v>
      </c>
      <c r="AQ411" s="264">
        <f t="shared" si="145"/>
        <v>0</v>
      </c>
      <c r="AR411" s="264">
        <f t="shared" si="145"/>
        <v>0</v>
      </c>
      <c r="AS411" s="264">
        <f t="shared" si="145"/>
        <v>0</v>
      </c>
      <c r="AT411" s="264">
        <f t="shared" si="145"/>
        <v>0</v>
      </c>
      <c r="AU411" s="264">
        <f t="shared" si="145"/>
        <v>0</v>
      </c>
      <c r="AV411" s="264">
        <f t="shared" si="145"/>
        <v>0</v>
      </c>
      <c r="AW411" s="264">
        <f t="shared" si="145"/>
        <v>0</v>
      </c>
      <c r="AX411" s="264">
        <f t="shared" si="145"/>
        <v>0</v>
      </c>
      <c r="AY411" s="264">
        <f t="shared" si="145"/>
        <v>0</v>
      </c>
      <c r="AZ411" s="264">
        <f t="shared" si="145"/>
        <v>0</v>
      </c>
      <c r="BA411" s="264">
        <f t="shared" si="145"/>
        <v>0</v>
      </c>
      <c r="BB411" s="264">
        <f t="shared" si="145"/>
        <v>0</v>
      </c>
      <c r="BC411" s="264">
        <f t="shared" si="145"/>
        <v>0</v>
      </c>
      <c r="BD411" s="264">
        <f t="shared" si="145"/>
        <v>0</v>
      </c>
      <c r="BE411" s="1296">
        <f t="shared" si="145"/>
        <v>0</v>
      </c>
      <c r="BF411" s="1192"/>
    </row>
    <row r="412" spans="2:58" x14ac:dyDescent="0.25">
      <c r="B412" s="253"/>
      <c r="C412" s="254" t="s">
        <v>76</v>
      </c>
      <c r="D412" s="254"/>
      <c r="E412" s="254"/>
      <c r="F412" s="254"/>
      <c r="G412" s="264">
        <f>G399</f>
        <v>0</v>
      </c>
      <c r="H412" s="264">
        <v>0</v>
      </c>
      <c r="I412" s="264">
        <v>0</v>
      </c>
      <c r="J412" s="264">
        <v>0</v>
      </c>
      <c r="K412" s="264">
        <v>0</v>
      </c>
      <c r="L412" s="264">
        <v>0</v>
      </c>
      <c r="M412" s="264">
        <v>0</v>
      </c>
      <c r="N412" s="264">
        <v>0</v>
      </c>
      <c r="O412" s="264">
        <v>0</v>
      </c>
      <c r="P412" s="264">
        <v>0</v>
      </c>
      <c r="Q412" s="264">
        <v>0</v>
      </c>
      <c r="R412" s="264">
        <v>0</v>
      </c>
      <c r="S412" s="264">
        <v>0</v>
      </c>
      <c r="T412" s="264">
        <v>0</v>
      </c>
      <c r="U412" s="264">
        <v>0</v>
      </c>
      <c r="V412" s="264">
        <v>0</v>
      </c>
      <c r="W412" s="264">
        <v>0</v>
      </c>
      <c r="X412" s="264">
        <v>0</v>
      </c>
      <c r="Y412" s="264">
        <v>0</v>
      </c>
      <c r="Z412" s="264">
        <v>0</v>
      </c>
      <c r="AA412" s="264">
        <v>0</v>
      </c>
      <c r="AB412" s="264">
        <v>0</v>
      </c>
      <c r="AC412" s="264">
        <v>0</v>
      </c>
      <c r="AD412" s="264">
        <v>0</v>
      </c>
      <c r="AE412" s="264">
        <v>0</v>
      </c>
      <c r="AF412" s="264">
        <v>0</v>
      </c>
      <c r="AG412" s="264">
        <v>0</v>
      </c>
      <c r="AH412" s="264">
        <v>0</v>
      </c>
      <c r="AI412" s="264">
        <v>0</v>
      </c>
      <c r="AJ412" s="264">
        <v>0</v>
      </c>
      <c r="AK412" s="264">
        <v>0</v>
      </c>
      <c r="AL412" s="264">
        <v>0</v>
      </c>
      <c r="AM412" s="264">
        <v>0</v>
      </c>
      <c r="AN412" s="264">
        <v>0</v>
      </c>
      <c r="AO412" s="264">
        <v>0</v>
      </c>
      <c r="AP412" s="264">
        <v>0</v>
      </c>
      <c r="AQ412" s="264">
        <v>0</v>
      </c>
      <c r="AR412" s="264">
        <v>0</v>
      </c>
      <c r="AS412" s="264">
        <v>0</v>
      </c>
      <c r="AT412" s="264">
        <v>0</v>
      </c>
      <c r="AU412" s="264">
        <v>0</v>
      </c>
      <c r="AV412" s="264">
        <v>0</v>
      </c>
      <c r="AW412" s="264">
        <v>0</v>
      </c>
      <c r="AX412" s="264">
        <v>0</v>
      </c>
      <c r="AY412" s="264">
        <v>0</v>
      </c>
      <c r="AZ412" s="264">
        <v>0</v>
      </c>
      <c r="BA412" s="264">
        <v>0</v>
      </c>
      <c r="BB412" s="264">
        <v>0</v>
      </c>
      <c r="BC412" s="264">
        <v>0</v>
      </c>
      <c r="BD412" s="264">
        <v>0</v>
      </c>
      <c r="BE412" s="1296">
        <v>0</v>
      </c>
      <c r="BF412" s="1192"/>
    </row>
    <row r="413" spans="2:58" x14ac:dyDescent="0.25">
      <c r="B413" s="253"/>
      <c r="C413" s="261" t="s">
        <v>77</v>
      </c>
      <c r="D413" s="261"/>
      <c r="E413" s="261"/>
      <c r="F413" s="261"/>
      <c r="G413" s="1297">
        <v>0</v>
      </c>
      <c r="H413" s="1297">
        <f>-H407</f>
        <v>0</v>
      </c>
      <c r="I413" s="1297">
        <f t="shared" ref="I413:BE413" si="146">-I407</f>
        <v>0</v>
      </c>
      <c r="J413" s="1297">
        <f t="shared" si="146"/>
        <v>0</v>
      </c>
      <c r="K413" s="1297">
        <f t="shared" si="146"/>
        <v>0</v>
      </c>
      <c r="L413" s="1297">
        <f t="shared" si="146"/>
        <v>0</v>
      </c>
      <c r="M413" s="1297">
        <f t="shared" si="146"/>
        <v>0</v>
      </c>
      <c r="N413" s="1297">
        <f t="shared" si="146"/>
        <v>0</v>
      </c>
      <c r="O413" s="1297">
        <f t="shared" si="146"/>
        <v>0</v>
      </c>
      <c r="P413" s="1297">
        <f t="shared" si="146"/>
        <v>0</v>
      </c>
      <c r="Q413" s="1297">
        <f t="shared" si="146"/>
        <v>0</v>
      </c>
      <c r="R413" s="1297">
        <f t="shared" si="146"/>
        <v>0</v>
      </c>
      <c r="S413" s="1297">
        <f t="shared" si="146"/>
        <v>0</v>
      </c>
      <c r="T413" s="1297">
        <f t="shared" si="146"/>
        <v>0</v>
      </c>
      <c r="U413" s="1297">
        <f t="shared" si="146"/>
        <v>0</v>
      </c>
      <c r="V413" s="1297">
        <f t="shared" si="146"/>
        <v>0</v>
      </c>
      <c r="W413" s="1297">
        <f t="shared" si="146"/>
        <v>0</v>
      </c>
      <c r="X413" s="1297">
        <f t="shared" si="146"/>
        <v>0</v>
      </c>
      <c r="Y413" s="1297">
        <f t="shared" si="146"/>
        <v>0</v>
      </c>
      <c r="Z413" s="1297">
        <f t="shared" si="146"/>
        <v>0</v>
      </c>
      <c r="AA413" s="1297">
        <f t="shared" si="146"/>
        <v>0</v>
      </c>
      <c r="AB413" s="1297">
        <f t="shared" si="146"/>
        <v>0</v>
      </c>
      <c r="AC413" s="1297">
        <f t="shared" si="146"/>
        <v>0</v>
      </c>
      <c r="AD413" s="1297">
        <f t="shared" si="146"/>
        <v>0</v>
      </c>
      <c r="AE413" s="1297">
        <f t="shared" si="146"/>
        <v>0</v>
      </c>
      <c r="AF413" s="1297">
        <f t="shared" si="146"/>
        <v>0</v>
      </c>
      <c r="AG413" s="1297">
        <f t="shared" si="146"/>
        <v>0</v>
      </c>
      <c r="AH413" s="1297">
        <f t="shared" si="146"/>
        <v>0</v>
      </c>
      <c r="AI413" s="1297">
        <f t="shared" si="146"/>
        <v>0</v>
      </c>
      <c r="AJ413" s="1297">
        <f t="shared" si="146"/>
        <v>0</v>
      </c>
      <c r="AK413" s="1297">
        <f t="shared" si="146"/>
        <v>0</v>
      </c>
      <c r="AL413" s="1297">
        <f t="shared" si="146"/>
        <v>0</v>
      </c>
      <c r="AM413" s="1297">
        <f t="shared" si="146"/>
        <v>0</v>
      </c>
      <c r="AN413" s="1297">
        <f t="shared" si="146"/>
        <v>0</v>
      </c>
      <c r="AO413" s="1297">
        <f t="shared" si="146"/>
        <v>0</v>
      </c>
      <c r="AP413" s="1297">
        <f t="shared" si="146"/>
        <v>0</v>
      </c>
      <c r="AQ413" s="1297">
        <f t="shared" si="146"/>
        <v>0</v>
      </c>
      <c r="AR413" s="1297">
        <f t="shared" si="146"/>
        <v>0</v>
      </c>
      <c r="AS413" s="1297">
        <f t="shared" si="146"/>
        <v>0</v>
      </c>
      <c r="AT413" s="1297">
        <f t="shared" si="146"/>
        <v>0</v>
      </c>
      <c r="AU413" s="1297">
        <f t="shared" si="146"/>
        <v>0</v>
      </c>
      <c r="AV413" s="1297">
        <f t="shared" si="146"/>
        <v>0</v>
      </c>
      <c r="AW413" s="1297">
        <f t="shared" si="146"/>
        <v>0</v>
      </c>
      <c r="AX413" s="1297">
        <f t="shared" si="146"/>
        <v>0</v>
      </c>
      <c r="AY413" s="1297">
        <f t="shared" si="146"/>
        <v>0</v>
      </c>
      <c r="AZ413" s="1297">
        <f t="shared" si="146"/>
        <v>0</v>
      </c>
      <c r="BA413" s="1297">
        <f t="shared" si="146"/>
        <v>0</v>
      </c>
      <c r="BB413" s="1297">
        <f t="shared" si="146"/>
        <v>0</v>
      </c>
      <c r="BC413" s="1297">
        <f t="shared" si="146"/>
        <v>0</v>
      </c>
      <c r="BD413" s="1297">
        <f t="shared" si="146"/>
        <v>0</v>
      </c>
      <c r="BE413" s="1298">
        <f t="shared" si="146"/>
        <v>0</v>
      </c>
      <c r="BF413" s="1192"/>
    </row>
    <row r="414" spans="2:58" x14ac:dyDescent="0.25">
      <c r="B414" s="253"/>
      <c r="C414" s="254" t="s">
        <v>66</v>
      </c>
      <c r="D414" s="254"/>
      <c r="E414" s="254"/>
      <c r="F414" s="254"/>
      <c r="G414" s="264">
        <f>SUM(G411:G413)</f>
        <v>0</v>
      </c>
      <c r="H414" s="264">
        <f>SUM(H411:H413)</f>
        <v>0</v>
      </c>
      <c r="I414" s="264">
        <f t="shared" ref="I414:BE414" si="147">SUM(I411:I413)</f>
        <v>0</v>
      </c>
      <c r="J414" s="264">
        <f t="shared" si="147"/>
        <v>0</v>
      </c>
      <c r="K414" s="264">
        <f t="shared" si="147"/>
        <v>0</v>
      </c>
      <c r="L414" s="264">
        <f t="shared" si="147"/>
        <v>0</v>
      </c>
      <c r="M414" s="264">
        <f t="shared" si="147"/>
        <v>0</v>
      </c>
      <c r="N414" s="264">
        <f t="shared" si="147"/>
        <v>0</v>
      </c>
      <c r="O414" s="264">
        <f t="shared" si="147"/>
        <v>0</v>
      </c>
      <c r="P414" s="264">
        <f t="shared" si="147"/>
        <v>0</v>
      </c>
      <c r="Q414" s="264">
        <f t="shared" si="147"/>
        <v>0</v>
      </c>
      <c r="R414" s="264">
        <f t="shared" si="147"/>
        <v>0</v>
      </c>
      <c r="S414" s="264">
        <f t="shared" si="147"/>
        <v>0</v>
      </c>
      <c r="T414" s="264">
        <f t="shared" si="147"/>
        <v>0</v>
      </c>
      <c r="U414" s="264">
        <f t="shared" si="147"/>
        <v>0</v>
      </c>
      <c r="V414" s="264">
        <f t="shared" si="147"/>
        <v>0</v>
      </c>
      <c r="W414" s="264">
        <f t="shared" si="147"/>
        <v>0</v>
      </c>
      <c r="X414" s="264">
        <f t="shared" si="147"/>
        <v>0</v>
      </c>
      <c r="Y414" s="264">
        <f t="shared" si="147"/>
        <v>0</v>
      </c>
      <c r="Z414" s="264">
        <f t="shared" si="147"/>
        <v>0</v>
      </c>
      <c r="AA414" s="264">
        <f t="shared" si="147"/>
        <v>0</v>
      </c>
      <c r="AB414" s="264">
        <f t="shared" si="147"/>
        <v>0</v>
      </c>
      <c r="AC414" s="264">
        <f t="shared" si="147"/>
        <v>0</v>
      </c>
      <c r="AD414" s="264">
        <f t="shared" si="147"/>
        <v>0</v>
      </c>
      <c r="AE414" s="264">
        <f t="shared" si="147"/>
        <v>0</v>
      </c>
      <c r="AF414" s="264">
        <f t="shared" si="147"/>
        <v>0</v>
      </c>
      <c r="AG414" s="264">
        <f t="shared" si="147"/>
        <v>0</v>
      </c>
      <c r="AH414" s="264">
        <f t="shared" si="147"/>
        <v>0</v>
      </c>
      <c r="AI414" s="264">
        <f t="shared" si="147"/>
        <v>0</v>
      </c>
      <c r="AJ414" s="264">
        <f t="shared" si="147"/>
        <v>0</v>
      </c>
      <c r="AK414" s="264">
        <f t="shared" si="147"/>
        <v>0</v>
      </c>
      <c r="AL414" s="264">
        <f t="shared" si="147"/>
        <v>0</v>
      </c>
      <c r="AM414" s="264">
        <f t="shared" si="147"/>
        <v>0</v>
      </c>
      <c r="AN414" s="264">
        <f t="shared" si="147"/>
        <v>0</v>
      </c>
      <c r="AO414" s="264">
        <f t="shared" si="147"/>
        <v>0</v>
      </c>
      <c r="AP414" s="264">
        <f t="shared" si="147"/>
        <v>0</v>
      </c>
      <c r="AQ414" s="264">
        <f t="shared" si="147"/>
        <v>0</v>
      </c>
      <c r="AR414" s="264">
        <f t="shared" si="147"/>
        <v>0</v>
      </c>
      <c r="AS414" s="264">
        <f t="shared" si="147"/>
        <v>0</v>
      </c>
      <c r="AT414" s="264">
        <f t="shared" si="147"/>
        <v>0</v>
      </c>
      <c r="AU414" s="264">
        <f t="shared" si="147"/>
        <v>0</v>
      </c>
      <c r="AV414" s="264">
        <f t="shared" si="147"/>
        <v>0</v>
      </c>
      <c r="AW414" s="264">
        <f t="shared" si="147"/>
        <v>0</v>
      </c>
      <c r="AX414" s="264">
        <f t="shared" si="147"/>
        <v>0</v>
      </c>
      <c r="AY414" s="264">
        <f t="shared" si="147"/>
        <v>0</v>
      </c>
      <c r="AZ414" s="264">
        <f t="shared" si="147"/>
        <v>0</v>
      </c>
      <c r="BA414" s="264">
        <f t="shared" si="147"/>
        <v>0</v>
      </c>
      <c r="BB414" s="264">
        <f t="shared" si="147"/>
        <v>0</v>
      </c>
      <c r="BC414" s="264">
        <f t="shared" si="147"/>
        <v>0</v>
      </c>
      <c r="BD414" s="264">
        <f t="shared" si="147"/>
        <v>0</v>
      </c>
      <c r="BE414" s="1296">
        <f t="shared" si="147"/>
        <v>0</v>
      </c>
      <c r="BF414" s="1192"/>
    </row>
    <row r="415" spans="2:58" x14ac:dyDescent="0.25">
      <c r="B415" s="253"/>
      <c r="C415" s="254"/>
      <c r="D415" s="254"/>
      <c r="E415" s="254"/>
      <c r="F415" s="25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1296"/>
      <c r="BF415" s="1192"/>
    </row>
    <row r="416" spans="2:58" x14ac:dyDescent="0.25">
      <c r="B416" s="253"/>
      <c r="C416" s="390" t="s">
        <v>71</v>
      </c>
      <c r="D416" s="254"/>
      <c r="E416" s="254"/>
      <c r="F416" s="25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1296"/>
      <c r="BF416" s="1192"/>
    </row>
    <row r="417" spans="2:58" x14ac:dyDescent="0.25">
      <c r="B417" s="253"/>
      <c r="C417" s="254" t="s">
        <v>233</v>
      </c>
      <c r="D417" s="254"/>
      <c r="E417" s="254"/>
      <c r="F417" s="254"/>
      <c r="G417" s="264"/>
      <c r="H417" s="264">
        <f>IF($G399&gt;0, $G399*'II. Inputs, Baseline Energy Mix'!$O$74/10000,0)</f>
        <v>0</v>
      </c>
      <c r="I417" s="264">
        <v>0</v>
      </c>
      <c r="J417" s="264">
        <v>0</v>
      </c>
      <c r="K417" s="264">
        <v>0</v>
      </c>
      <c r="L417" s="264">
        <v>0</v>
      </c>
      <c r="M417" s="264">
        <v>0</v>
      </c>
      <c r="N417" s="264">
        <v>0</v>
      </c>
      <c r="O417" s="264">
        <v>0</v>
      </c>
      <c r="P417" s="264">
        <v>0</v>
      </c>
      <c r="Q417" s="264">
        <v>0</v>
      </c>
      <c r="R417" s="264">
        <v>0</v>
      </c>
      <c r="S417" s="264">
        <v>0</v>
      </c>
      <c r="T417" s="264">
        <v>0</v>
      </c>
      <c r="U417" s="264">
        <v>0</v>
      </c>
      <c r="V417" s="264">
        <v>0</v>
      </c>
      <c r="W417" s="264">
        <v>0</v>
      </c>
      <c r="X417" s="264">
        <v>0</v>
      </c>
      <c r="Y417" s="264">
        <v>0</v>
      </c>
      <c r="Z417" s="264">
        <v>0</v>
      </c>
      <c r="AA417" s="264">
        <v>0</v>
      </c>
      <c r="AB417" s="264">
        <v>0</v>
      </c>
      <c r="AC417" s="264">
        <v>0</v>
      </c>
      <c r="AD417" s="264">
        <v>0</v>
      </c>
      <c r="AE417" s="264">
        <v>0</v>
      </c>
      <c r="AF417" s="264">
        <v>0</v>
      </c>
      <c r="AG417" s="264">
        <v>0</v>
      </c>
      <c r="AH417" s="264">
        <v>0</v>
      </c>
      <c r="AI417" s="264">
        <v>0</v>
      </c>
      <c r="AJ417" s="264">
        <v>0</v>
      </c>
      <c r="AK417" s="264">
        <v>0</v>
      </c>
      <c r="AL417" s="264">
        <v>0</v>
      </c>
      <c r="AM417" s="264">
        <v>0</v>
      </c>
      <c r="AN417" s="264">
        <v>0</v>
      </c>
      <c r="AO417" s="264">
        <v>0</v>
      </c>
      <c r="AP417" s="264">
        <v>0</v>
      </c>
      <c r="AQ417" s="264">
        <v>0</v>
      </c>
      <c r="AR417" s="264">
        <v>0</v>
      </c>
      <c r="AS417" s="264">
        <v>0</v>
      </c>
      <c r="AT417" s="264">
        <v>0</v>
      </c>
      <c r="AU417" s="264">
        <v>0</v>
      </c>
      <c r="AV417" s="264">
        <v>0</v>
      </c>
      <c r="AW417" s="264">
        <v>0</v>
      </c>
      <c r="AX417" s="264">
        <v>0</v>
      </c>
      <c r="AY417" s="264">
        <v>0</v>
      </c>
      <c r="AZ417" s="264">
        <v>0</v>
      </c>
      <c r="BA417" s="264">
        <v>0</v>
      </c>
      <c r="BB417" s="264">
        <v>0</v>
      </c>
      <c r="BC417" s="264">
        <v>0</v>
      </c>
      <c r="BD417" s="264">
        <v>0</v>
      </c>
      <c r="BE417" s="1296">
        <v>0</v>
      </c>
      <c r="BF417" s="1192"/>
    </row>
    <row r="418" spans="2:58" x14ac:dyDescent="0.25">
      <c r="B418" s="253"/>
      <c r="C418" s="254" t="str">
        <f>'II. Inputs, Baseline Energy Mix'!$E$77</f>
        <v>Front-end Fee, Public Guarantee</v>
      </c>
      <c r="D418" s="254"/>
      <c r="E418" s="254"/>
      <c r="F418" s="254"/>
      <c r="G418" s="264"/>
      <c r="H418" s="264">
        <f>IF($G399&gt;0, $G399*$G402*'II. Inputs, Baseline Energy Mix'!$O$77/10000,0)</f>
        <v>0</v>
      </c>
      <c r="I418" s="264">
        <v>0</v>
      </c>
      <c r="J418" s="264">
        <v>0</v>
      </c>
      <c r="K418" s="264">
        <v>0</v>
      </c>
      <c r="L418" s="264">
        <v>0</v>
      </c>
      <c r="M418" s="264">
        <v>0</v>
      </c>
      <c r="N418" s="264">
        <v>0</v>
      </c>
      <c r="O418" s="264">
        <v>0</v>
      </c>
      <c r="P418" s="264">
        <v>0</v>
      </c>
      <c r="Q418" s="264">
        <v>0</v>
      </c>
      <c r="R418" s="264">
        <v>0</v>
      </c>
      <c r="S418" s="264">
        <v>0</v>
      </c>
      <c r="T418" s="264">
        <v>0</v>
      </c>
      <c r="U418" s="264">
        <v>0</v>
      </c>
      <c r="V418" s="264">
        <v>0</v>
      </c>
      <c r="W418" s="264">
        <v>0</v>
      </c>
      <c r="X418" s="264">
        <v>0</v>
      </c>
      <c r="Y418" s="264">
        <v>0</v>
      </c>
      <c r="Z418" s="264">
        <v>0</v>
      </c>
      <c r="AA418" s="264">
        <v>0</v>
      </c>
      <c r="AB418" s="264">
        <v>0</v>
      </c>
      <c r="AC418" s="264">
        <v>0</v>
      </c>
      <c r="AD418" s="264">
        <v>0</v>
      </c>
      <c r="AE418" s="264">
        <v>0</v>
      </c>
      <c r="AF418" s="264">
        <v>0</v>
      </c>
      <c r="AG418" s="264">
        <v>0</v>
      </c>
      <c r="AH418" s="264">
        <v>0</v>
      </c>
      <c r="AI418" s="264">
        <v>0</v>
      </c>
      <c r="AJ418" s="264">
        <v>0</v>
      </c>
      <c r="AK418" s="264">
        <v>0</v>
      </c>
      <c r="AL418" s="264">
        <v>0</v>
      </c>
      <c r="AM418" s="264">
        <v>0</v>
      </c>
      <c r="AN418" s="264">
        <v>0</v>
      </c>
      <c r="AO418" s="264">
        <v>0</v>
      </c>
      <c r="AP418" s="264">
        <v>0</v>
      </c>
      <c r="AQ418" s="264">
        <v>0</v>
      </c>
      <c r="AR418" s="264">
        <v>0</v>
      </c>
      <c r="AS418" s="264">
        <v>0</v>
      </c>
      <c r="AT418" s="264">
        <v>0</v>
      </c>
      <c r="AU418" s="264">
        <v>0</v>
      </c>
      <c r="AV418" s="264">
        <v>0</v>
      </c>
      <c r="AW418" s="264">
        <v>0</v>
      </c>
      <c r="AX418" s="264">
        <v>0</v>
      </c>
      <c r="AY418" s="264">
        <v>0</v>
      </c>
      <c r="AZ418" s="264">
        <v>0</v>
      </c>
      <c r="BA418" s="264">
        <v>0</v>
      </c>
      <c r="BB418" s="264">
        <v>0</v>
      </c>
      <c r="BC418" s="264">
        <v>0</v>
      </c>
      <c r="BD418" s="264">
        <v>0</v>
      </c>
      <c r="BE418" s="1296">
        <v>0</v>
      </c>
      <c r="BF418" s="1192"/>
    </row>
    <row r="419" spans="2:58" x14ac:dyDescent="0.25">
      <c r="B419" s="253"/>
      <c r="C419" s="254" t="str">
        <f>'II. Inputs, Baseline Energy Mix'!$E$78</f>
        <v xml:space="preserve">Annual Public Guarantee Fee </v>
      </c>
      <c r="D419" s="254"/>
      <c r="E419" s="254"/>
      <c r="F419" s="254"/>
      <c r="G419" s="264"/>
      <c r="H419" s="264">
        <f>IF(H$299&gt;$G403,0,((H411+H414)/2)*$G402*'II. Inputs, Baseline Energy Mix'!$O$78/10000)</f>
        <v>0</v>
      </c>
      <c r="I419" s="264">
        <f>IF(I$299&gt;$G403,0,((I411+I414)/2)*$G402*'II. Inputs, Baseline Energy Mix'!$O$78/10000)</f>
        <v>0</v>
      </c>
      <c r="J419" s="264">
        <f>IF(J$299&gt;$G403,0,((J411+J414)/2)*$G402*'II. Inputs, Baseline Energy Mix'!$O$78/10000)</f>
        <v>0</v>
      </c>
      <c r="K419" s="264">
        <f>IF(K$299&gt;$G403,0,((K411+K414)/2)*$G402*'II. Inputs, Baseline Energy Mix'!$O$78/10000)</f>
        <v>0</v>
      </c>
      <c r="L419" s="264">
        <f>IF(L$299&gt;$G403,0,((L411+L414)/2)*$G402*'II. Inputs, Baseline Energy Mix'!$O$78/10000)</f>
        <v>0</v>
      </c>
      <c r="M419" s="264">
        <f>IF(M$299&gt;$G403,0,((M411+M414)/2)*$G402*'II. Inputs, Baseline Energy Mix'!$O$78/10000)</f>
        <v>0</v>
      </c>
      <c r="N419" s="264">
        <f>IF(N$299&gt;$G403,0,((N411+N414)/2)*$G402*'II. Inputs, Baseline Energy Mix'!$O$78/10000)</f>
        <v>0</v>
      </c>
      <c r="O419" s="264">
        <f>IF(O$299&gt;$G403,0,((O411+O414)/2)*$G402*'II. Inputs, Baseline Energy Mix'!$O$78/10000)</f>
        <v>0</v>
      </c>
      <c r="P419" s="264">
        <f>IF(P$299&gt;$G403,0,((P411+P414)/2)*$G402*'II. Inputs, Baseline Energy Mix'!$O$78/10000)</f>
        <v>0</v>
      </c>
      <c r="Q419" s="264">
        <f>IF(Q$299&gt;$G403,0,((Q411+Q414)/2)*$G402*'II. Inputs, Baseline Energy Mix'!$O$78/10000)</f>
        <v>0</v>
      </c>
      <c r="R419" s="264">
        <f>IF(R$299&gt;$G403,0,((R411+R414)/2)*$G402*'II. Inputs, Baseline Energy Mix'!$O$78/10000)</f>
        <v>0</v>
      </c>
      <c r="S419" s="264">
        <f>IF(S$299&gt;$G403,0,((S411+S414)/2)*$G402*'II. Inputs, Baseline Energy Mix'!$O$78/10000)</f>
        <v>0</v>
      </c>
      <c r="T419" s="264">
        <f>IF(T$299&gt;$G403,0,((T411+T414)/2)*$G402*'II. Inputs, Baseline Energy Mix'!$O$78/10000)</f>
        <v>0</v>
      </c>
      <c r="U419" s="264">
        <f>IF(U$299&gt;$G403,0,((U411+U414)/2)*$G402*'II. Inputs, Baseline Energy Mix'!$O$78/10000)</f>
        <v>0</v>
      </c>
      <c r="V419" s="264">
        <f>IF(V$299&gt;$G403,0,((V411+V414)/2)*$G402*'II. Inputs, Baseline Energy Mix'!$O$78/10000)</f>
        <v>0</v>
      </c>
      <c r="W419" s="264">
        <f>IF(W$299&gt;$G403,0,((W411+W414)/2)*$G402*'II. Inputs, Baseline Energy Mix'!$O$78/10000)</f>
        <v>0</v>
      </c>
      <c r="X419" s="264">
        <f>IF(X$299&gt;$G403,0,((X411+X414)/2)*$G402*'II. Inputs, Baseline Energy Mix'!$O$78/10000)</f>
        <v>0</v>
      </c>
      <c r="Y419" s="264">
        <f>IF(Y$299&gt;$G403,0,((Y411+Y414)/2)*$G402*'II. Inputs, Baseline Energy Mix'!$O$78/10000)</f>
        <v>0</v>
      </c>
      <c r="Z419" s="264">
        <f>IF(Z$299&gt;$G403,0,((Z411+Z414)/2)*$G402*'II. Inputs, Baseline Energy Mix'!$O$78/10000)</f>
        <v>0</v>
      </c>
      <c r="AA419" s="264">
        <f>IF(AA$299&gt;$G403,0,((AA411+AA414)/2)*$G402*'II. Inputs, Baseline Energy Mix'!$O$78/10000)</f>
        <v>0</v>
      </c>
      <c r="AB419" s="264">
        <f>IF(AB$299&gt;$G403,0,((AB411+AB414)/2)*$G402*'II. Inputs, Baseline Energy Mix'!$O$78/10000)</f>
        <v>0</v>
      </c>
      <c r="AC419" s="264">
        <f>IF(AC$299&gt;$G403,0,((AC411+AC414)/2)*$G402*'II. Inputs, Baseline Energy Mix'!$O$78/10000)</f>
        <v>0</v>
      </c>
      <c r="AD419" s="264">
        <f>IF(AD$299&gt;$G403,0,((AD411+AD414)/2)*$G402*'II. Inputs, Baseline Energy Mix'!$O$78/10000)</f>
        <v>0</v>
      </c>
      <c r="AE419" s="264">
        <f>IF(AE$299&gt;$G403,0,((AE411+AE414)/2)*$G402*'II. Inputs, Baseline Energy Mix'!$O$78/10000)</f>
        <v>0</v>
      </c>
      <c r="AF419" s="264">
        <f>IF(AF$299&gt;$G403,0,((AF411+AF414)/2)*$G402*'II. Inputs, Baseline Energy Mix'!$O$78/10000)</f>
        <v>0</v>
      </c>
      <c r="AG419" s="264">
        <f>IF(AG$299&gt;$G403,0,((AG411+AG414)/2)*$G402*'II. Inputs, Baseline Energy Mix'!$O$78/10000)</f>
        <v>0</v>
      </c>
      <c r="AH419" s="264">
        <f>IF(AH$299&gt;$G403,0,((AH411+AH414)/2)*$G402*'II. Inputs, Baseline Energy Mix'!$O$78/10000)</f>
        <v>0</v>
      </c>
      <c r="AI419" s="264">
        <f>IF(AI$299&gt;$G403,0,((AI411+AI414)/2)*$G402*'II. Inputs, Baseline Energy Mix'!$O$78/10000)</f>
        <v>0</v>
      </c>
      <c r="AJ419" s="264">
        <f>IF(AJ$299&gt;$G403,0,((AJ411+AJ414)/2)*$G402*'II. Inputs, Baseline Energy Mix'!$O$78/10000)</f>
        <v>0</v>
      </c>
      <c r="AK419" s="264">
        <f>IF(AK$299&gt;$G403,0,((AK411+AK414)/2)*$G402*'II. Inputs, Baseline Energy Mix'!$O$78/10000)</f>
        <v>0</v>
      </c>
      <c r="AL419" s="264">
        <f>IF(AL$299&gt;$G403,0,((AL411+AL414)/2)*$G402*'II. Inputs, Baseline Energy Mix'!$O$78/10000)</f>
        <v>0</v>
      </c>
      <c r="AM419" s="264">
        <f>IF(AM$299&gt;$G403,0,((AM411+AM414)/2)*$G402*'II. Inputs, Baseline Energy Mix'!$O$78/10000)</f>
        <v>0</v>
      </c>
      <c r="AN419" s="264">
        <f>IF(AN$299&gt;$G403,0,((AN411+AN414)/2)*$G402*'II. Inputs, Baseline Energy Mix'!$O$78/10000)</f>
        <v>0</v>
      </c>
      <c r="AO419" s="264">
        <f>IF(AO$299&gt;$G403,0,((AO411+AO414)/2)*$G402*'II. Inputs, Baseline Energy Mix'!$O$78/10000)</f>
        <v>0</v>
      </c>
      <c r="AP419" s="264">
        <f>IF(AP$299&gt;$G403,0,((AP411+AP414)/2)*$G402*'II. Inputs, Baseline Energy Mix'!$O$78/10000)</f>
        <v>0</v>
      </c>
      <c r="AQ419" s="264">
        <f>IF(AQ$299&gt;$G403,0,((AQ411+AQ414)/2)*$G402*'II. Inputs, Baseline Energy Mix'!$O$78/10000)</f>
        <v>0</v>
      </c>
      <c r="AR419" s="264">
        <f>IF(AR$299&gt;$G403,0,((AR411+AR414)/2)*$G402*'II. Inputs, Baseline Energy Mix'!$O$78/10000)</f>
        <v>0</v>
      </c>
      <c r="AS419" s="264">
        <f>IF(AS$299&gt;$G403,0,((AS411+AS414)/2)*$G402*'II. Inputs, Baseline Energy Mix'!$O$78/10000)</f>
        <v>0</v>
      </c>
      <c r="AT419" s="264">
        <f>IF(AT$299&gt;$G403,0,((AT411+AT414)/2)*$G402*'II. Inputs, Baseline Energy Mix'!$O$78/10000)</f>
        <v>0</v>
      </c>
      <c r="AU419" s="264">
        <f>IF(AU$299&gt;$G403,0,((AU411+AU414)/2)*$G402*'II. Inputs, Baseline Energy Mix'!$O$78/10000)</f>
        <v>0</v>
      </c>
      <c r="AV419" s="264">
        <f>IF(AV$299&gt;$G403,0,((AV411+AV414)/2)*$G402*'II. Inputs, Baseline Energy Mix'!$O$78/10000)</f>
        <v>0</v>
      </c>
      <c r="AW419" s="264">
        <f>IF(AW$299&gt;$G403,0,((AW411+AW414)/2)*$G402*'II. Inputs, Baseline Energy Mix'!$O$78/10000)</f>
        <v>0</v>
      </c>
      <c r="AX419" s="264">
        <f>IF(AX$299&gt;$G403,0,((AX411+AX414)/2)*$G402*'II. Inputs, Baseline Energy Mix'!$O$78/10000)</f>
        <v>0</v>
      </c>
      <c r="AY419" s="264">
        <f>IF(AY$299&gt;$G403,0,((AY411+AY414)/2)*$G402*'II. Inputs, Baseline Energy Mix'!$O$78/10000)</f>
        <v>0</v>
      </c>
      <c r="AZ419" s="264">
        <f>IF(AZ$299&gt;$G403,0,((AZ411+AZ414)/2)*$G402*'II. Inputs, Baseline Energy Mix'!$O$78/10000)</f>
        <v>0</v>
      </c>
      <c r="BA419" s="264">
        <f>IF(BA$299&gt;$G403,0,((BA411+BA414)/2)*$G402*'II. Inputs, Baseline Energy Mix'!$O$78/10000)</f>
        <v>0</v>
      </c>
      <c r="BB419" s="264">
        <f>IF(BB$299&gt;$G403,0,((BB411+BB414)/2)*$G402*'II. Inputs, Baseline Energy Mix'!$O$78/10000)</f>
        <v>0</v>
      </c>
      <c r="BC419" s="264">
        <f>IF(BC$299&gt;$G403,0,((BC411+BC414)/2)*$G402*'II. Inputs, Baseline Energy Mix'!$O$78/10000)</f>
        <v>0</v>
      </c>
      <c r="BD419" s="264">
        <f>IF(BD$299&gt;$G403,0,((BD411+BD414)/2)*$G402*'II. Inputs, Baseline Energy Mix'!$O$78/10000)</f>
        <v>0</v>
      </c>
      <c r="BE419" s="1296">
        <f>IF(BE$299&gt;$G403,0,((BE411+BE414)/2)*$G402*'II. Inputs, Baseline Energy Mix'!$O$78/10000)</f>
        <v>0</v>
      </c>
      <c r="BF419" s="1192"/>
    </row>
    <row r="420" spans="2:58" x14ac:dyDescent="0.25">
      <c r="B420" s="253"/>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c r="AT420" s="254"/>
      <c r="AU420" s="254"/>
      <c r="AV420" s="254"/>
      <c r="AW420" s="254"/>
      <c r="AX420" s="254"/>
      <c r="AY420" s="254"/>
      <c r="AZ420" s="254"/>
      <c r="BA420" s="254"/>
      <c r="BB420" s="254"/>
      <c r="BC420" s="254"/>
      <c r="BD420" s="254"/>
      <c r="BE420" s="255"/>
    </row>
    <row r="421" spans="2:58" x14ac:dyDescent="0.25">
      <c r="B421" s="265" t="s">
        <v>180</v>
      </c>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c r="AT421" s="254"/>
      <c r="AU421" s="254"/>
      <c r="AV421" s="254"/>
      <c r="AW421" s="254"/>
      <c r="AX421" s="254"/>
      <c r="AY421" s="254"/>
      <c r="AZ421" s="254"/>
      <c r="BA421" s="254"/>
      <c r="BB421" s="254"/>
      <c r="BC421" s="254"/>
      <c r="BD421" s="254"/>
      <c r="BE421" s="255"/>
    </row>
    <row r="422" spans="2:58" x14ac:dyDescent="0.25">
      <c r="B422" s="253"/>
      <c r="C422" s="387" t="s">
        <v>68</v>
      </c>
      <c r="D422" s="254"/>
      <c r="E422" s="254"/>
      <c r="F422" s="254"/>
      <c r="G422" s="264">
        <f>IF('II. Inputs, Baseline Energy Mix'!$O$15&gt;0,('II. Inputs, Baseline Energy Mix'!$O$16*'II. Inputs, Baseline Energy Mix'!$O$17*'II. Inputs, Baseline Energy Mix'!$O$30*'II. Inputs, Baseline Energy Mix'!$O$34),0)</f>
        <v>0</v>
      </c>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c r="AT422" s="254"/>
      <c r="AU422" s="254"/>
      <c r="AV422" s="254"/>
      <c r="AW422" s="254"/>
      <c r="AX422" s="254"/>
      <c r="AY422" s="254"/>
      <c r="AZ422" s="254"/>
      <c r="BA422" s="254"/>
      <c r="BB422" s="254"/>
      <c r="BC422" s="254"/>
      <c r="BD422" s="254"/>
      <c r="BE422" s="255"/>
    </row>
    <row r="423" spans="2:58" x14ac:dyDescent="0.25">
      <c r="B423" s="253"/>
      <c r="C423" s="387" t="s">
        <v>69</v>
      </c>
      <c r="D423" s="254"/>
      <c r="E423" s="254"/>
      <c r="F423" s="254"/>
      <c r="G423" s="256">
        <f>SUM('II. Inputs, Baseline Energy Mix'!$O$46)</f>
        <v>20</v>
      </c>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c r="AT423" s="254"/>
      <c r="AU423" s="254"/>
      <c r="AV423" s="254"/>
      <c r="AW423" s="254"/>
      <c r="AX423" s="254"/>
      <c r="AY423" s="254"/>
      <c r="AZ423" s="254"/>
      <c r="BA423" s="254"/>
      <c r="BB423" s="254"/>
      <c r="BC423" s="254"/>
      <c r="BD423" s="254"/>
      <c r="BE423" s="255"/>
    </row>
    <row r="424" spans="2:58" x14ac:dyDescent="0.25">
      <c r="B424" s="253"/>
      <c r="C424" s="387" t="s">
        <v>70</v>
      </c>
      <c r="D424" s="254"/>
      <c r="E424" s="254"/>
      <c r="F424" s="254"/>
      <c r="G424" s="391">
        <f>SUM('II. Inputs, Baseline Energy Mix'!$O$41)</f>
        <v>8.5000000000000006E-2</v>
      </c>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c r="AT424" s="254"/>
      <c r="AU424" s="254"/>
      <c r="AV424" s="254"/>
      <c r="AW424" s="254"/>
      <c r="AX424" s="254"/>
      <c r="AY424" s="254"/>
      <c r="AZ424" s="254"/>
      <c r="BA424" s="254"/>
      <c r="BB424" s="254"/>
      <c r="BC424" s="254"/>
      <c r="BD424" s="254"/>
      <c r="BE424" s="255"/>
    </row>
    <row r="425" spans="2:58" x14ac:dyDescent="0.25">
      <c r="B425" s="253"/>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c r="AT425" s="254"/>
      <c r="AU425" s="254"/>
      <c r="AV425" s="254"/>
      <c r="AW425" s="254"/>
      <c r="AX425" s="254"/>
      <c r="AY425" s="254"/>
      <c r="AZ425" s="254"/>
      <c r="BA425" s="254"/>
      <c r="BB425" s="254"/>
      <c r="BC425" s="254"/>
      <c r="BD425" s="254"/>
      <c r="BE425" s="255"/>
    </row>
    <row r="426" spans="2:58" x14ac:dyDescent="0.25">
      <c r="B426" s="253"/>
      <c r="C426" s="389" t="s">
        <v>67</v>
      </c>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c r="AT426" s="254"/>
      <c r="AU426" s="254"/>
      <c r="AV426" s="254"/>
      <c r="AW426" s="254"/>
      <c r="AX426" s="254"/>
      <c r="AY426" s="254"/>
      <c r="AZ426" s="254"/>
      <c r="BA426" s="254"/>
      <c r="BB426" s="254"/>
      <c r="BC426" s="254"/>
      <c r="BD426" s="254"/>
      <c r="BE426" s="255"/>
    </row>
    <row r="427" spans="2:58" x14ac:dyDescent="0.25">
      <c r="B427" s="253"/>
      <c r="C427" s="254" t="s">
        <v>73</v>
      </c>
      <c r="D427" s="254"/>
      <c r="E427" s="254"/>
      <c r="F427" s="254"/>
      <c r="G427" s="264"/>
      <c r="H427" s="264">
        <f>IF(H$299&gt;$G423,0,IPMT($G424,H$299,$G423,-$G422))</f>
        <v>0</v>
      </c>
      <c r="I427" s="264">
        <f t="shared" ref="I427:BE427" si="148">IF(I$299&gt;$G423,0,IPMT($G424,I$299,$G423,-$G422))</f>
        <v>0</v>
      </c>
      <c r="J427" s="264">
        <f t="shared" si="148"/>
        <v>0</v>
      </c>
      <c r="K427" s="264">
        <f t="shared" si="148"/>
        <v>0</v>
      </c>
      <c r="L427" s="264">
        <f t="shared" si="148"/>
        <v>0</v>
      </c>
      <c r="M427" s="264">
        <f t="shared" si="148"/>
        <v>0</v>
      </c>
      <c r="N427" s="264">
        <f t="shared" si="148"/>
        <v>0</v>
      </c>
      <c r="O427" s="264">
        <f t="shared" si="148"/>
        <v>0</v>
      </c>
      <c r="P427" s="264">
        <f t="shared" si="148"/>
        <v>0</v>
      </c>
      <c r="Q427" s="264">
        <f t="shared" si="148"/>
        <v>0</v>
      </c>
      <c r="R427" s="264">
        <f t="shared" si="148"/>
        <v>0</v>
      </c>
      <c r="S427" s="264">
        <f t="shared" si="148"/>
        <v>0</v>
      </c>
      <c r="T427" s="264">
        <f t="shared" si="148"/>
        <v>0</v>
      </c>
      <c r="U427" s="264">
        <f t="shared" si="148"/>
        <v>0</v>
      </c>
      <c r="V427" s="264">
        <f t="shared" si="148"/>
        <v>0</v>
      </c>
      <c r="W427" s="264">
        <f t="shared" si="148"/>
        <v>0</v>
      </c>
      <c r="X427" s="264">
        <f t="shared" si="148"/>
        <v>0</v>
      </c>
      <c r="Y427" s="264">
        <f t="shared" si="148"/>
        <v>0</v>
      </c>
      <c r="Z427" s="264">
        <f t="shared" si="148"/>
        <v>0</v>
      </c>
      <c r="AA427" s="264">
        <f t="shared" si="148"/>
        <v>0</v>
      </c>
      <c r="AB427" s="264">
        <f t="shared" si="148"/>
        <v>0</v>
      </c>
      <c r="AC427" s="264">
        <f t="shared" si="148"/>
        <v>0</v>
      </c>
      <c r="AD427" s="264">
        <f t="shared" si="148"/>
        <v>0</v>
      </c>
      <c r="AE427" s="264">
        <f t="shared" si="148"/>
        <v>0</v>
      </c>
      <c r="AF427" s="264">
        <f t="shared" si="148"/>
        <v>0</v>
      </c>
      <c r="AG427" s="264">
        <f t="shared" si="148"/>
        <v>0</v>
      </c>
      <c r="AH427" s="264">
        <f t="shared" si="148"/>
        <v>0</v>
      </c>
      <c r="AI427" s="264">
        <f t="shared" si="148"/>
        <v>0</v>
      </c>
      <c r="AJ427" s="264">
        <f t="shared" si="148"/>
        <v>0</v>
      </c>
      <c r="AK427" s="264">
        <f t="shared" si="148"/>
        <v>0</v>
      </c>
      <c r="AL427" s="264">
        <f t="shared" si="148"/>
        <v>0</v>
      </c>
      <c r="AM427" s="264">
        <f t="shared" si="148"/>
        <v>0</v>
      </c>
      <c r="AN427" s="264">
        <f t="shared" si="148"/>
        <v>0</v>
      </c>
      <c r="AO427" s="264">
        <f t="shared" si="148"/>
        <v>0</v>
      </c>
      <c r="AP427" s="264">
        <f t="shared" si="148"/>
        <v>0</v>
      </c>
      <c r="AQ427" s="264">
        <f t="shared" si="148"/>
        <v>0</v>
      </c>
      <c r="AR427" s="264">
        <f t="shared" si="148"/>
        <v>0</v>
      </c>
      <c r="AS427" s="264">
        <f t="shared" si="148"/>
        <v>0</v>
      </c>
      <c r="AT427" s="264">
        <f t="shared" si="148"/>
        <v>0</v>
      </c>
      <c r="AU427" s="264">
        <f t="shared" si="148"/>
        <v>0</v>
      </c>
      <c r="AV427" s="264">
        <f t="shared" si="148"/>
        <v>0</v>
      </c>
      <c r="AW427" s="264">
        <f t="shared" si="148"/>
        <v>0</v>
      </c>
      <c r="AX427" s="264">
        <f t="shared" si="148"/>
        <v>0</v>
      </c>
      <c r="AY427" s="264">
        <f t="shared" si="148"/>
        <v>0</v>
      </c>
      <c r="AZ427" s="264">
        <f t="shared" si="148"/>
        <v>0</v>
      </c>
      <c r="BA427" s="264">
        <f t="shared" si="148"/>
        <v>0</v>
      </c>
      <c r="BB427" s="264">
        <f t="shared" si="148"/>
        <v>0</v>
      </c>
      <c r="BC427" s="264">
        <f t="shared" si="148"/>
        <v>0</v>
      </c>
      <c r="BD427" s="264">
        <f t="shared" si="148"/>
        <v>0</v>
      </c>
      <c r="BE427" s="1296">
        <f t="shared" si="148"/>
        <v>0</v>
      </c>
    </row>
    <row r="428" spans="2:58" x14ac:dyDescent="0.25">
      <c r="B428" s="253"/>
      <c r="C428" s="261" t="s">
        <v>72</v>
      </c>
      <c r="D428" s="261"/>
      <c r="E428" s="261"/>
      <c r="F428" s="261"/>
      <c r="G428" s="1297"/>
      <c r="H428" s="1297">
        <f>IF(H$299&gt;$G423,0,PPMT($G424,H$299,$G423,-$G422))</f>
        <v>0</v>
      </c>
      <c r="I428" s="1297">
        <f t="shared" ref="I428:BE428" si="149">IF(I$299&gt;$G423,0,PPMT($G424,I$299,$G423,-$G422))</f>
        <v>0</v>
      </c>
      <c r="J428" s="1297">
        <f t="shared" si="149"/>
        <v>0</v>
      </c>
      <c r="K428" s="1297">
        <f t="shared" si="149"/>
        <v>0</v>
      </c>
      <c r="L428" s="1297">
        <f t="shared" si="149"/>
        <v>0</v>
      </c>
      <c r="M428" s="1297">
        <f t="shared" si="149"/>
        <v>0</v>
      </c>
      <c r="N428" s="1297">
        <f t="shared" si="149"/>
        <v>0</v>
      </c>
      <c r="O428" s="1297">
        <f t="shared" si="149"/>
        <v>0</v>
      </c>
      <c r="P428" s="1297">
        <f t="shared" si="149"/>
        <v>0</v>
      </c>
      <c r="Q428" s="1297">
        <f t="shared" si="149"/>
        <v>0</v>
      </c>
      <c r="R428" s="1297">
        <f t="shared" si="149"/>
        <v>0</v>
      </c>
      <c r="S428" s="1297">
        <f t="shared" si="149"/>
        <v>0</v>
      </c>
      <c r="T428" s="1297">
        <f t="shared" si="149"/>
        <v>0</v>
      </c>
      <c r="U428" s="1297">
        <f t="shared" si="149"/>
        <v>0</v>
      </c>
      <c r="V428" s="1297">
        <f t="shared" si="149"/>
        <v>0</v>
      </c>
      <c r="W428" s="1297">
        <f t="shared" si="149"/>
        <v>0</v>
      </c>
      <c r="X428" s="1297">
        <f t="shared" si="149"/>
        <v>0</v>
      </c>
      <c r="Y428" s="1297">
        <f t="shared" si="149"/>
        <v>0</v>
      </c>
      <c r="Z428" s="1297">
        <f t="shared" si="149"/>
        <v>0</v>
      </c>
      <c r="AA428" s="1297">
        <f t="shared" si="149"/>
        <v>0</v>
      </c>
      <c r="AB428" s="1297">
        <f t="shared" si="149"/>
        <v>0</v>
      </c>
      <c r="AC428" s="1297">
        <f t="shared" si="149"/>
        <v>0</v>
      </c>
      <c r="AD428" s="1297">
        <f t="shared" si="149"/>
        <v>0</v>
      </c>
      <c r="AE428" s="1297">
        <f t="shared" si="149"/>
        <v>0</v>
      </c>
      <c r="AF428" s="1297">
        <f t="shared" si="149"/>
        <v>0</v>
      </c>
      <c r="AG428" s="1297">
        <f t="shared" si="149"/>
        <v>0</v>
      </c>
      <c r="AH428" s="1297">
        <f t="shared" si="149"/>
        <v>0</v>
      </c>
      <c r="AI428" s="1297">
        <f t="shared" si="149"/>
        <v>0</v>
      </c>
      <c r="AJ428" s="1297">
        <f t="shared" si="149"/>
        <v>0</v>
      </c>
      <c r="AK428" s="1297">
        <f t="shared" si="149"/>
        <v>0</v>
      </c>
      <c r="AL428" s="1297">
        <f t="shared" si="149"/>
        <v>0</v>
      </c>
      <c r="AM428" s="1297">
        <f t="shared" si="149"/>
        <v>0</v>
      </c>
      <c r="AN428" s="1297">
        <f t="shared" si="149"/>
        <v>0</v>
      </c>
      <c r="AO428" s="1297">
        <f t="shared" si="149"/>
        <v>0</v>
      </c>
      <c r="AP428" s="1297">
        <f t="shared" si="149"/>
        <v>0</v>
      </c>
      <c r="AQ428" s="1297">
        <f t="shared" si="149"/>
        <v>0</v>
      </c>
      <c r="AR428" s="1297">
        <f t="shared" si="149"/>
        <v>0</v>
      </c>
      <c r="AS428" s="1297">
        <f t="shared" si="149"/>
        <v>0</v>
      </c>
      <c r="AT428" s="1297">
        <f t="shared" si="149"/>
        <v>0</v>
      </c>
      <c r="AU428" s="1297">
        <f t="shared" si="149"/>
        <v>0</v>
      </c>
      <c r="AV428" s="1297">
        <f t="shared" si="149"/>
        <v>0</v>
      </c>
      <c r="AW428" s="1297">
        <f t="shared" si="149"/>
        <v>0</v>
      </c>
      <c r="AX428" s="1297">
        <f t="shared" si="149"/>
        <v>0</v>
      </c>
      <c r="AY428" s="1297">
        <f t="shared" si="149"/>
        <v>0</v>
      </c>
      <c r="AZ428" s="1297">
        <f t="shared" si="149"/>
        <v>0</v>
      </c>
      <c r="BA428" s="1297">
        <f t="shared" si="149"/>
        <v>0</v>
      </c>
      <c r="BB428" s="1297">
        <f t="shared" si="149"/>
        <v>0</v>
      </c>
      <c r="BC428" s="1297">
        <f t="shared" si="149"/>
        <v>0</v>
      </c>
      <c r="BD428" s="1297">
        <f t="shared" si="149"/>
        <v>0</v>
      </c>
      <c r="BE428" s="1298">
        <f t="shared" si="149"/>
        <v>0</v>
      </c>
    </row>
    <row r="429" spans="2:58" x14ac:dyDescent="0.25">
      <c r="B429" s="253"/>
      <c r="C429" s="254" t="s">
        <v>74</v>
      </c>
      <c r="D429" s="254"/>
      <c r="E429" s="254"/>
      <c r="F429" s="254"/>
      <c r="G429" s="264"/>
      <c r="H429" s="264">
        <f>SUM(H427:H428)</f>
        <v>0</v>
      </c>
      <c r="I429" s="264">
        <f t="shared" ref="I429:BE429" si="150">SUM(I427:I428)</f>
        <v>0</v>
      </c>
      <c r="J429" s="264">
        <f t="shared" si="150"/>
        <v>0</v>
      </c>
      <c r="K429" s="264">
        <f t="shared" si="150"/>
        <v>0</v>
      </c>
      <c r="L429" s="264">
        <f t="shared" si="150"/>
        <v>0</v>
      </c>
      <c r="M429" s="264">
        <f t="shared" si="150"/>
        <v>0</v>
      </c>
      <c r="N429" s="264">
        <f t="shared" si="150"/>
        <v>0</v>
      </c>
      <c r="O429" s="264">
        <f t="shared" si="150"/>
        <v>0</v>
      </c>
      <c r="P429" s="264">
        <f t="shared" si="150"/>
        <v>0</v>
      </c>
      <c r="Q429" s="264">
        <f t="shared" si="150"/>
        <v>0</v>
      </c>
      <c r="R429" s="264">
        <f t="shared" si="150"/>
        <v>0</v>
      </c>
      <c r="S429" s="264">
        <f t="shared" si="150"/>
        <v>0</v>
      </c>
      <c r="T429" s="264">
        <f t="shared" si="150"/>
        <v>0</v>
      </c>
      <c r="U429" s="264">
        <f t="shared" si="150"/>
        <v>0</v>
      </c>
      <c r="V429" s="264">
        <f t="shared" si="150"/>
        <v>0</v>
      </c>
      <c r="W429" s="264">
        <f t="shared" si="150"/>
        <v>0</v>
      </c>
      <c r="X429" s="264">
        <f t="shared" si="150"/>
        <v>0</v>
      </c>
      <c r="Y429" s="264">
        <f t="shared" si="150"/>
        <v>0</v>
      </c>
      <c r="Z429" s="264">
        <f t="shared" si="150"/>
        <v>0</v>
      </c>
      <c r="AA429" s="264">
        <f t="shared" si="150"/>
        <v>0</v>
      </c>
      <c r="AB429" s="264">
        <f t="shared" si="150"/>
        <v>0</v>
      </c>
      <c r="AC429" s="264">
        <f t="shared" si="150"/>
        <v>0</v>
      </c>
      <c r="AD429" s="264">
        <f t="shared" si="150"/>
        <v>0</v>
      </c>
      <c r="AE429" s="264">
        <f t="shared" si="150"/>
        <v>0</v>
      </c>
      <c r="AF429" s="264">
        <f t="shared" si="150"/>
        <v>0</v>
      </c>
      <c r="AG429" s="264">
        <f t="shared" si="150"/>
        <v>0</v>
      </c>
      <c r="AH429" s="264">
        <f t="shared" si="150"/>
        <v>0</v>
      </c>
      <c r="AI429" s="264">
        <f t="shared" si="150"/>
        <v>0</v>
      </c>
      <c r="AJ429" s="264">
        <f t="shared" si="150"/>
        <v>0</v>
      </c>
      <c r="AK429" s="264">
        <f t="shared" si="150"/>
        <v>0</v>
      </c>
      <c r="AL429" s="264">
        <f t="shared" si="150"/>
        <v>0</v>
      </c>
      <c r="AM429" s="264">
        <f t="shared" si="150"/>
        <v>0</v>
      </c>
      <c r="AN429" s="264">
        <f t="shared" si="150"/>
        <v>0</v>
      </c>
      <c r="AO429" s="264">
        <f t="shared" si="150"/>
        <v>0</v>
      </c>
      <c r="AP429" s="264">
        <f t="shared" si="150"/>
        <v>0</v>
      </c>
      <c r="AQ429" s="264">
        <f t="shared" si="150"/>
        <v>0</v>
      </c>
      <c r="AR429" s="264">
        <f t="shared" si="150"/>
        <v>0</v>
      </c>
      <c r="AS429" s="264">
        <f t="shared" si="150"/>
        <v>0</v>
      </c>
      <c r="AT429" s="264">
        <f t="shared" si="150"/>
        <v>0</v>
      </c>
      <c r="AU429" s="264">
        <f t="shared" si="150"/>
        <v>0</v>
      </c>
      <c r="AV429" s="264">
        <f t="shared" si="150"/>
        <v>0</v>
      </c>
      <c r="AW429" s="264">
        <f t="shared" si="150"/>
        <v>0</v>
      </c>
      <c r="AX429" s="264">
        <f t="shared" si="150"/>
        <v>0</v>
      </c>
      <c r="AY429" s="264">
        <f t="shared" si="150"/>
        <v>0</v>
      </c>
      <c r="AZ429" s="264">
        <f t="shared" si="150"/>
        <v>0</v>
      </c>
      <c r="BA429" s="264">
        <f t="shared" si="150"/>
        <v>0</v>
      </c>
      <c r="BB429" s="264">
        <f t="shared" si="150"/>
        <v>0</v>
      </c>
      <c r="BC429" s="264">
        <f t="shared" si="150"/>
        <v>0</v>
      </c>
      <c r="BD429" s="264">
        <f t="shared" si="150"/>
        <v>0</v>
      </c>
      <c r="BE429" s="1296">
        <f t="shared" si="150"/>
        <v>0</v>
      </c>
    </row>
    <row r="430" spans="2:58" x14ac:dyDescent="0.25">
      <c r="B430" s="253"/>
      <c r="C430" s="254"/>
      <c r="D430" s="254"/>
      <c r="E430" s="254"/>
      <c r="F430" s="25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1296"/>
    </row>
    <row r="431" spans="2:58" x14ac:dyDescent="0.25">
      <c r="B431" s="253"/>
      <c r="C431" s="390" t="s">
        <v>65</v>
      </c>
      <c r="D431" s="254"/>
      <c r="E431" s="254"/>
      <c r="F431" s="25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1296"/>
    </row>
    <row r="432" spans="2:58" x14ac:dyDescent="0.25">
      <c r="B432" s="253"/>
      <c r="C432" s="254" t="s">
        <v>75</v>
      </c>
      <c r="D432" s="254"/>
      <c r="E432" s="254"/>
      <c r="F432" s="254"/>
      <c r="G432" s="264">
        <v>0</v>
      </c>
      <c r="H432" s="264">
        <f t="shared" ref="H432:AM432" si="151">G435</f>
        <v>0</v>
      </c>
      <c r="I432" s="264">
        <f t="shared" si="151"/>
        <v>0</v>
      </c>
      <c r="J432" s="264">
        <f t="shared" si="151"/>
        <v>0</v>
      </c>
      <c r="K432" s="264">
        <f t="shared" si="151"/>
        <v>0</v>
      </c>
      <c r="L432" s="264">
        <f t="shared" si="151"/>
        <v>0</v>
      </c>
      <c r="M432" s="264">
        <f t="shared" si="151"/>
        <v>0</v>
      </c>
      <c r="N432" s="264">
        <f t="shared" si="151"/>
        <v>0</v>
      </c>
      <c r="O432" s="264">
        <f t="shared" si="151"/>
        <v>0</v>
      </c>
      <c r="P432" s="264">
        <f t="shared" si="151"/>
        <v>0</v>
      </c>
      <c r="Q432" s="264">
        <f t="shared" si="151"/>
        <v>0</v>
      </c>
      <c r="R432" s="264">
        <f t="shared" si="151"/>
        <v>0</v>
      </c>
      <c r="S432" s="264">
        <f t="shared" si="151"/>
        <v>0</v>
      </c>
      <c r="T432" s="264">
        <f t="shared" si="151"/>
        <v>0</v>
      </c>
      <c r="U432" s="264">
        <f t="shared" si="151"/>
        <v>0</v>
      </c>
      <c r="V432" s="264">
        <f t="shared" si="151"/>
        <v>0</v>
      </c>
      <c r="W432" s="264">
        <f t="shared" si="151"/>
        <v>0</v>
      </c>
      <c r="X432" s="264">
        <f t="shared" si="151"/>
        <v>0</v>
      </c>
      <c r="Y432" s="264">
        <f t="shared" si="151"/>
        <v>0</v>
      </c>
      <c r="Z432" s="264">
        <f t="shared" si="151"/>
        <v>0</v>
      </c>
      <c r="AA432" s="264">
        <f t="shared" si="151"/>
        <v>0</v>
      </c>
      <c r="AB432" s="264">
        <f t="shared" si="151"/>
        <v>0</v>
      </c>
      <c r="AC432" s="264">
        <f t="shared" si="151"/>
        <v>0</v>
      </c>
      <c r="AD432" s="264">
        <f t="shared" si="151"/>
        <v>0</v>
      </c>
      <c r="AE432" s="264">
        <f t="shared" si="151"/>
        <v>0</v>
      </c>
      <c r="AF432" s="264">
        <f t="shared" si="151"/>
        <v>0</v>
      </c>
      <c r="AG432" s="264">
        <f t="shared" si="151"/>
        <v>0</v>
      </c>
      <c r="AH432" s="264">
        <f t="shared" si="151"/>
        <v>0</v>
      </c>
      <c r="AI432" s="264">
        <f t="shared" si="151"/>
        <v>0</v>
      </c>
      <c r="AJ432" s="264">
        <f t="shared" si="151"/>
        <v>0</v>
      </c>
      <c r="AK432" s="264">
        <f t="shared" si="151"/>
        <v>0</v>
      </c>
      <c r="AL432" s="264">
        <f t="shared" si="151"/>
        <v>0</v>
      </c>
      <c r="AM432" s="264">
        <f t="shared" si="151"/>
        <v>0</v>
      </c>
      <c r="AN432" s="264">
        <f t="shared" ref="AN432:BE432" si="152">AM435</f>
        <v>0</v>
      </c>
      <c r="AO432" s="264">
        <f t="shared" si="152"/>
        <v>0</v>
      </c>
      <c r="AP432" s="264">
        <f t="shared" si="152"/>
        <v>0</v>
      </c>
      <c r="AQ432" s="264">
        <f t="shared" si="152"/>
        <v>0</v>
      </c>
      <c r="AR432" s="264">
        <f t="shared" si="152"/>
        <v>0</v>
      </c>
      <c r="AS432" s="264">
        <f t="shared" si="152"/>
        <v>0</v>
      </c>
      <c r="AT432" s="264">
        <f t="shared" si="152"/>
        <v>0</v>
      </c>
      <c r="AU432" s="264">
        <f t="shared" si="152"/>
        <v>0</v>
      </c>
      <c r="AV432" s="264">
        <f t="shared" si="152"/>
        <v>0</v>
      </c>
      <c r="AW432" s="264">
        <f t="shared" si="152"/>
        <v>0</v>
      </c>
      <c r="AX432" s="264">
        <f t="shared" si="152"/>
        <v>0</v>
      </c>
      <c r="AY432" s="264">
        <f t="shared" si="152"/>
        <v>0</v>
      </c>
      <c r="AZ432" s="264">
        <f t="shared" si="152"/>
        <v>0</v>
      </c>
      <c r="BA432" s="264">
        <f t="shared" si="152"/>
        <v>0</v>
      </c>
      <c r="BB432" s="264">
        <f t="shared" si="152"/>
        <v>0</v>
      </c>
      <c r="BC432" s="264">
        <f t="shared" si="152"/>
        <v>0</v>
      </c>
      <c r="BD432" s="264">
        <f t="shared" si="152"/>
        <v>0</v>
      </c>
      <c r="BE432" s="1296">
        <f t="shared" si="152"/>
        <v>0</v>
      </c>
    </row>
    <row r="433" spans="2:57" x14ac:dyDescent="0.25">
      <c r="B433" s="253"/>
      <c r="C433" s="254" t="s">
        <v>76</v>
      </c>
      <c r="D433" s="254"/>
      <c r="E433" s="254"/>
      <c r="F433" s="254"/>
      <c r="G433" s="264">
        <f>G422</f>
        <v>0</v>
      </c>
      <c r="H433" s="264">
        <v>0</v>
      </c>
      <c r="I433" s="264">
        <v>0</v>
      </c>
      <c r="J433" s="264">
        <v>0</v>
      </c>
      <c r="K433" s="264">
        <v>0</v>
      </c>
      <c r="L433" s="264">
        <v>0</v>
      </c>
      <c r="M433" s="264">
        <v>0</v>
      </c>
      <c r="N433" s="264">
        <v>0</v>
      </c>
      <c r="O433" s="264">
        <v>0</v>
      </c>
      <c r="P433" s="264">
        <v>0</v>
      </c>
      <c r="Q433" s="264">
        <v>0</v>
      </c>
      <c r="R433" s="264">
        <v>0</v>
      </c>
      <c r="S433" s="264">
        <v>0</v>
      </c>
      <c r="T433" s="264">
        <v>0</v>
      </c>
      <c r="U433" s="264">
        <v>0</v>
      </c>
      <c r="V433" s="264">
        <v>0</v>
      </c>
      <c r="W433" s="264">
        <v>0</v>
      </c>
      <c r="X433" s="264">
        <v>0</v>
      </c>
      <c r="Y433" s="264">
        <v>0</v>
      </c>
      <c r="Z433" s="264">
        <v>0</v>
      </c>
      <c r="AA433" s="264">
        <v>0</v>
      </c>
      <c r="AB433" s="264">
        <v>0</v>
      </c>
      <c r="AC433" s="264">
        <v>0</v>
      </c>
      <c r="AD433" s="264">
        <v>0</v>
      </c>
      <c r="AE433" s="264">
        <v>0</v>
      </c>
      <c r="AF433" s="264">
        <v>0</v>
      </c>
      <c r="AG433" s="264">
        <v>0</v>
      </c>
      <c r="AH433" s="264">
        <v>0</v>
      </c>
      <c r="AI433" s="264">
        <v>0</v>
      </c>
      <c r="AJ433" s="264">
        <v>0</v>
      </c>
      <c r="AK433" s="264">
        <v>0</v>
      </c>
      <c r="AL433" s="264">
        <v>0</v>
      </c>
      <c r="AM433" s="264">
        <v>0</v>
      </c>
      <c r="AN433" s="264">
        <v>0</v>
      </c>
      <c r="AO433" s="264">
        <v>0</v>
      </c>
      <c r="AP433" s="264">
        <v>0</v>
      </c>
      <c r="AQ433" s="264">
        <v>0</v>
      </c>
      <c r="AR433" s="264">
        <v>0</v>
      </c>
      <c r="AS433" s="264">
        <v>0</v>
      </c>
      <c r="AT433" s="264">
        <v>0</v>
      </c>
      <c r="AU433" s="264">
        <v>0</v>
      </c>
      <c r="AV433" s="264">
        <v>0</v>
      </c>
      <c r="AW433" s="264">
        <v>0</v>
      </c>
      <c r="AX433" s="264">
        <v>0</v>
      </c>
      <c r="AY433" s="264">
        <v>0</v>
      </c>
      <c r="AZ433" s="264">
        <v>0</v>
      </c>
      <c r="BA433" s="264">
        <v>0</v>
      </c>
      <c r="BB433" s="264">
        <v>0</v>
      </c>
      <c r="BC433" s="264">
        <v>0</v>
      </c>
      <c r="BD433" s="264">
        <v>0</v>
      </c>
      <c r="BE433" s="1296">
        <v>0</v>
      </c>
    </row>
    <row r="434" spans="2:57" x14ac:dyDescent="0.25">
      <c r="B434" s="253"/>
      <c r="C434" s="261" t="s">
        <v>77</v>
      </c>
      <c r="D434" s="261"/>
      <c r="E434" s="261"/>
      <c r="F434" s="261"/>
      <c r="G434" s="1297">
        <v>0</v>
      </c>
      <c r="H434" s="1297">
        <f>-H428</f>
        <v>0</v>
      </c>
      <c r="I434" s="1297">
        <f t="shared" ref="I434:BE434" si="153">-I428</f>
        <v>0</v>
      </c>
      <c r="J434" s="1297">
        <f t="shared" si="153"/>
        <v>0</v>
      </c>
      <c r="K434" s="1297">
        <f t="shared" si="153"/>
        <v>0</v>
      </c>
      <c r="L434" s="1297">
        <f t="shared" si="153"/>
        <v>0</v>
      </c>
      <c r="M434" s="1297">
        <f t="shared" si="153"/>
        <v>0</v>
      </c>
      <c r="N434" s="1297">
        <f t="shared" si="153"/>
        <v>0</v>
      </c>
      <c r="O434" s="1297">
        <f t="shared" si="153"/>
        <v>0</v>
      </c>
      <c r="P434" s="1297">
        <f t="shared" si="153"/>
        <v>0</v>
      </c>
      <c r="Q434" s="1297">
        <f t="shared" si="153"/>
        <v>0</v>
      </c>
      <c r="R434" s="1297">
        <f t="shared" si="153"/>
        <v>0</v>
      </c>
      <c r="S434" s="1297">
        <f t="shared" si="153"/>
        <v>0</v>
      </c>
      <c r="T434" s="1297">
        <f t="shared" si="153"/>
        <v>0</v>
      </c>
      <c r="U434" s="1297">
        <f t="shared" si="153"/>
        <v>0</v>
      </c>
      <c r="V434" s="1297">
        <f t="shared" si="153"/>
        <v>0</v>
      </c>
      <c r="W434" s="1297">
        <f t="shared" si="153"/>
        <v>0</v>
      </c>
      <c r="X434" s="1297">
        <f t="shared" si="153"/>
        <v>0</v>
      </c>
      <c r="Y434" s="1297">
        <f t="shared" si="153"/>
        <v>0</v>
      </c>
      <c r="Z434" s="1297">
        <f t="shared" si="153"/>
        <v>0</v>
      </c>
      <c r="AA434" s="1297">
        <f t="shared" si="153"/>
        <v>0</v>
      </c>
      <c r="AB434" s="1297">
        <f t="shared" si="153"/>
        <v>0</v>
      </c>
      <c r="AC434" s="1297">
        <f t="shared" si="153"/>
        <v>0</v>
      </c>
      <c r="AD434" s="1297">
        <f t="shared" si="153"/>
        <v>0</v>
      </c>
      <c r="AE434" s="1297">
        <f t="shared" si="153"/>
        <v>0</v>
      </c>
      <c r="AF434" s="1297">
        <f t="shared" si="153"/>
        <v>0</v>
      </c>
      <c r="AG434" s="1297">
        <f t="shared" si="153"/>
        <v>0</v>
      </c>
      <c r="AH434" s="1297">
        <f t="shared" si="153"/>
        <v>0</v>
      </c>
      <c r="AI434" s="1297">
        <f t="shared" si="153"/>
        <v>0</v>
      </c>
      <c r="AJ434" s="1297">
        <f t="shared" si="153"/>
        <v>0</v>
      </c>
      <c r="AK434" s="1297">
        <f t="shared" si="153"/>
        <v>0</v>
      </c>
      <c r="AL434" s="1297">
        <f t="shared" si="153"/>
        <v>0</v>
      </c>
      <c r="AM434" s="1297">
        <f t="shared" si="153"/>
        <v>0</v>
      </c>
      <c r="AN434" s="1297">
        <f t="shared" si="153"/>
        <v>0</v>
      </c>
      <c r="AO434" s="1297">
        <f t="shared" si="153"/>
        <v>0</v>
      </c>
      <c r="AP434" s="1297">
        <f t="shared" si="153"/>
        <v>0</v>
      </c>
      <c r="AQ434" s="1297">
        <f t="shared" si="153"/>
        <v>0</v>
      </c>
      <c r="AR434" s="1297">
        <f t="shared" si="153"/>
        <v>0</v>
      </c>
      <c r="AS434" s="1297">
        <f t="shared" si="153"/>
        <v>0</v>
      </c>
      <c r="AT434" s="1297">
        <f t="shared" si="153"/>
        <v>0</v>
      </c>
      <c r="AU434" s="1297">
        <f t="shared" si="153"/>
        <v>0</v>
      </c>
      <c r="AV434" s="1297">
        <f t="shared" si="153"/>
        <v>0</v>
      </c>
      <c r="AW434" s="1297">
        <f t="shared" si="153"/>
        <v>0</v>
      </c>
      <c r="AX434" s="1297">
        <f t="shared" si="153"/>
        <v>0</v>
      </c>
      <c r="AY434" s="1297">
        <f t="shared" si="153"/>
        <v>0</v>
      </c>
      <c r="AZ434" s="1297">
        <f t="shared" si="153"/>
        <v>0</v>
      </c>
      <c r="BA434" s="1297">
        <f t="shared" si="153"/>
        <v>0</v>
      </c>
      <c r="BB434" s="1297">
        <f t="shared" si="153"/>
        <v>0</v>
      </c>
      <c r="BC434" s="1297">
        <f t="shared" si="153"/>
        <v>0</v>
      </c>
      <c r="BD434" s="1297">
        <f t="shared" si="153"/>
        <v>0</v>
      </c>
      <c r="BE434" s="1298">
        <f t="shared" si="153"/>
        <v>0</v>
      </c>
    </row>
    <row r="435" spans="2:57" x14ac:dyDescent="0.25">
      <c r="B435" s="253"/>
      <c r="C435" s="254" t="s">
        <v>66</v>
      </c>
      <c r="D435" s="254"/>
      <c r="E435" s="254"/>
      <c r="F435" s="254"/>
      <c r="G435" s="264">
        <f>SUM(G432:G434)</f>
        <v>0</v>
      </c>
      <c r="H435" s="264">
        <f>SUM(H432:H434)</f>
        <v>0</v>
      </c>
      <c r="I435" s="264">
        <f t="shared" ref="I435:BE435" si="154">SUM(I432:I434)</f>
        <v>0</v>
      </c>
      <c r="J435" s="264">
        <f t="shared" si="154"/>
        <v>0</v>
      </c>
      <c r="K435" s="264">
        <f t="shared" si="154"/>
        <v>0</v>
      </c>
      <c r="L435" s="264">
        <f t="shared" si="154"/>
        <v>0</v>
      </c>
      <c r="M435" s="264">
        <f t="shared" si="154"/>
        <v>0</v>
      </c>
      <c r="N435" s="264">
        <f t="shared" si="154"/>
        <v>0</v>
      </c>
      <c r="O435" s="264">
        <f t="shared" si="154"/>
        <v>0</v>
      </c>
      <c r="P435" s="264">
        <f t="shared" si="154"/>
        <v>0</v>
      </c>
      <c r="Q435" s="264">
        <f t="shared" si="154"/>
        <v>0</v>
      </c>
      <c r="R435" s="264">
        <f t="shared" si="154"/>
        <v>0</v>
      </c>
      <c r="S435" s="264">
        <f t="shared" si="154"/>
        <v>0</v>
      </c>
      <c r="T435" s="264">
        <f t="shared" si="154"/>
        <v>0</v>
      </c>
      <c r="U435" s="264">
        <f t="shared" si="154"/>
        <v>0</v>
      </c>
      <c r="V435" s="264">
        <f t="shared" si="154"/>
        <v>0</v>
      </c>
      <c r="W435" s="264">
        <f t="shared" si="154"/>
        <v>0</v>
      </c>
      <c r="X435" s="264">
        <f t="shared" si="154"/>
        <v>0</v>
      </c>
      <c r="Y435" s="264">
        <f t="shared" si="154"/>
        <v>0</v>
      </c>
      <c r="Z435" s="264">
        <f t="shared" si="154"/>
        <v>0</v>
      </c>
      <c r="AA435" s="264">
        <f t="shared" si="154"/>
        <v>0</v>
      </c>
      <c r="AB435" s="264">
        <f t="shared" si="154"/>
        <v>0</v>
      </c>
      <c r="AC435" s="264">
        <f t="shared" si="154"/>
        <v>0</v>
      </c>
      <c r="AD435" s="264">
        <f t="shared" si="154"/>
        <v>0</v>
      </c>
      <c r="AE435" s="264">
        <f t="shared" si="154"/>
        <v>0</v>
      </c>
      <c r="AF435" s="264">
        <f t="shared" si="154"/>
        <v>0</v>
      </c>
      <c r="AG435" s="264">
        <f t="shared" si="154"/>
        <v>0</v>
      </c>
      <c r="AH435" s="264">
        <f t="shared" si="154"/>
        <v>0</v>
      </c>
      <c r="AI435" s="264">
        <f t="shared" si="154"/>
        <v>0</v>
      </c>
      <c r="AJ435" s="264">
        <f t="shared" si="154"/>
        <v>0</v>
      </c>
      <c r="AK435" s="264">
        <f t="shared" si="154"/>
        <v>0</v>
      </c>
      <c r="AL435" s="264">
        <f t="shared" si="154"/>
        <v>0</v>
      </c>
      <c r="AM435" s="264">
        <f t="shared" si="154"/>
        <v>0</v>
      </c>
      <c r="AN435" s="264">
        <f t="shared" si="154"/>
        <v>0</v>
      </c>
      <c r="AO435" s="264">
        <f t="shared" si="154"/>
        <v>0</v>
      </c>
      <c r="AP435" s="264">
        <f t="shared" si="154"/>
        <v>0</v>
      </c>
      <c r="AQ435" s="264">
        <f t="shared" si="154"/>
        <v>0</v>
      </c>
      <c r="AR435" s="264">
        <f t="shared" si="154"/>
        <v>0</v>
      </c>
      <c r="AS435" s="264">
        <f t="shared" si="154"/>
        <v>0</v>
      </c>
      <c r="AT435" s="264">
        <f t="shared" si="154"/>
        <v>0</v>
      </c>
      <c r="AU435" s="264">
        <f t="shared" si="154"/>
        <v>0</v>
      </c>
      <c r="AV435" s="264">
        <f t="shared" si="154"/>
        <v>0</v>
      </c>
      <c r="AW435" s="264">
        <f t="shared" si="154"/>
        <v>0</v>
      </c>
      <c r="AX435" s="264">
        <f t="shared" si="154"/>
        <v>0</v>
      </c>
      <c r="AY435" s="264">
        <f t="shared" si="154"/>
        <v>0</v>
      </c>
      <c r="AZ435" s="264">
        <f t="shared" si="154"/>
        <v>0</v>
      </c>
      <c r="BA435" s="264">
        <f t="shared" si="154"/>
        <v>0</v>
      </c>
      <c r="BB435" s="264">
        <f t="shared" si="154"/>
        <v>0</v>
      </c>
      <c r="BC435" s="264">
        <f t="shared" si="154"/>
        <v>0</v>
      </c>
      <c r="BD435" s="264">
        <f t="shared" si="154"/>
        <v>0</v>
      </c>
      <c r="BE435" s="1296">
        <f t="shared" si="154"/>
        <v>0</v>
      </c>
    </row>
    <row r="436" spans="2:57" x14ac:dyDescent="0.25">
      <c r="B436" s="253"/>
      <c r="C436" s="254"/>
      <c r="D436" s="254"/>
      <c r="E436" s="254"/>
      <c r="F436" s="25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1296"/>
    </row>
    <row r="437" spans="2:57" x14ac:dyDescent="0.25">
      <c r="B437" s="253"/>
      <c r="C437" s="390" t="s">
        <v>71</v>
      </c>
      <c r="D437" s="254"/>
      <c r="E437" s="254"/>
      <c r="F437" s="25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1296"/>
    </row>
    <row r="438" spans="2:57" x14ac:dyDescent="0.25">
      <c r="B438" s="253"/>
      <c r="C438" s="254" t="s">
        <v>236</v>
      </c>
      <c r="D438" s="254"/>
      <c r="E438" s="254"/>
      <c r="F438" s="254"/>
      <c r="G438" s="264"/>
      <c r="H438" s="264">
        <f>IF($G422&gt;0, $G422*'II. Inputs, Baseline Energy Mix'!$O$51/10000,0)</f>
        <v>0</v>
      </c>
      <c r="I438" s="264">
        <v>0</v>
      </c>
      <c r="J438" s="264">
        <v>0</v>
      </c>
      <c r="K438" s="264">
        <v>0</v>
      </c>
      <c r="L438" s="264">
        <v>0</v>
      </c>
      <c r="M438" s="264">
        <v>0</v>
      </c>
      <c r="N438" s="264">
        <v>0</v>
      </c>
      <c r="O438" s="264">
        <v>0</v>
      </c>
      <c r="P438" s="264">
        <v>0</v>
      </c>
      <c r="Q438" s="264">
        <v>0</v>
      </c>
      <c r="R438" s="264">
        <v>0</v>
      </c>
      <c r="S438" s="264">
        <v>0</v>
      </c>
      <c r="T438" s="264">
        <v>0</v>
      </c>
      <c r="U438" s="264">
        <v>0</v>
      </c>
      <c r="V438" s="264">
        <v>0</v>
      </c>
      <c r="W438" s="264">
        <v>0</v>
      </c>
      <c r="X438" s="264">
        <v>0</v>
      </c>
      <c r="Y438" s="264">
        <v>0</v>
      </c>
      <c r="Z438" s="264">
        <v>0</v>
      </c>
      <c r="AA438" s="264">
        <v>0</v>
      </c>
      <c r="AB438" s="264">
        <v>0</v>
      </c>
      <c r="AC438" s="264">
        <v>0</v>
      </c>
      <c r="AD438" s="264">
        <v>0</v>
      </c>
      <c r="AE438" s="264">
        <v>0</v>
      </c>
      <c r="AF438" s="264">
        <v>0</v>
      </c>
      <c r="AG438" s="264">
        <v>0</v>
      </c>
      <c r="AH438" s="264">
        <v>0</v>
      </c>
      <c r="AI438" s="264">
        <v>0</v>
      </c>
      <c r="AJ438" s="264">
        <v>0</v>
      </c>
      <c r="AK438" s="264">
        <v>0</v>
      </c>
      <c r="AL438" s="264">
        <v>0</v>
      </c>
      <c r="AM438" s="264">
        <v>0</v>
      </c>
      <c r="AN438" s="264">
        <v>0</v>
      </c>
      <c r="AO438" s="264">
        <v>0</v>
      </c>
      <c r="AP438" s="264">
        <v>0</v>
      </c>
      <c r="AQ438" s="264">
        <v>0</v>
      </c>
      <c r="AR438" s="264">
        <v>0</v>
      </c>
      <c r="AS438" s="264">
        <v>0</v>
      </c>
      <c r="AT438" s="264">
        <v>0</v>
      </c>
      <c r="AU438" s="264">
        <v>0</v>
      </c>
      <c r="AV438" s="264">
        <v>0</v>
      </c>
      <c r="AW438" s="264">
        <v>0</v>
      </c>
      <c r="AX438" s="264">
        <v>0</v>
      </c>
      <c r="AY438" s="264">
        <v>0</v>
      </c>
      <c r="AZ438" s="264">
        <v>0</v>
      </c>
      <c r="BA438" s="264">
        <v>0</v>
      </c>
      <c r="BB438" s="264">
        <v>0</v>
      </c>
      <c r="BC438" s="264">
        <v>0</v>
      </c>
      <c r="BD438" s="264">
        <v>0</v>
      </c>
      <c r="BE438" s="1296">
        <v>0</v>
      </c>
    </row>
    <row r="439" spans="2:57" x14ac:dyDescent="0.25">
      <c r="B439" s="253"/>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c r="AT439" s="254"/>
      <c r="AU439" s="254"/>
      <c r="AV439" s="254"/>
      <c r="AW439" s="254"/>
      <c r="AX439" s="254"/>
      <c r="AY439" s="254"/>
      <c r="AZ439" s="254"/>
      <c r="BA439" s="254"/>
      <c r="BB439" s="254"/>
      <c r="BC439" s="254"/>
      <c r="BD439" s="254"/>
      <c r="BE439" s="255"/>
    </row>
    <row r="440" spans="2:57" x14ac:dyDescent="0.25">
      <c r="B440" s="253"/>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c r="AT440" s="254"/>
      <c r="AU440" s="254"/>
      <c r="AV440" s="254"/>
      <c r="AW440" s="254"/>
      <c r="AX440" s="254"/>
      <c r="AY440" s="254"/>
      <c r="AZ440" s="254"/>
      <c r="BA440" s="254"/>
      <c r="BB440" s="254"/>
      <c r="BC440" s="254"/>
      <c r="BD440" s="254"/>
      <c r="BE440" s="255"/>
    </row>
    <row r="441" spans="2:57" x14ac:dyDescent="0.25">
      <c r="B441" s="265" t="s">
        <v>86</v>
      </c>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c r="AT441" s="254"/>
      <c r="AU441" s="254"/>
      <c r="AV441" s="254"/>
      <c r="AW441" s="254"/>
      <c r="AX441" s="254"/>
      <c r="AY441" s="254"/>
      <c r="AZ441" s="254"/>
      <c r="BA441" s="254"/>
      <c r="BB441" s="254"/>
      <c r="BC441" s="254"/>
      <c r="BD441" s="254"/>
      <c r="BE441" s="255"/>
    </row>
    <row r="442" spans="2:57" x14ac:dyDescent="0.25">
      <c r="B442" s="253"/>
      <c r="C442" s="387" t="s">
        <v>84</v>
      </c>
      <c r="D442" s="254"/>
      <c r="E442" s="254"/>
      <c r="F442" s="254"/>
      <c r="G442" s="264">
        <f>IF('II. Inputs, Baseline Energy Mix'!$O$15&gt;0, ('II. Inputs, Baseline Energy Mix'!$O$16*'II. Inputs, Baseline Energy Mix'!$O$17*'II. Inputs, Baseline Energy Mix'!$O$29*'II. Inputs, Baseline Energy Mix'!$O$80),0)</f>
        <v>0</v>
      </c>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c r="AT442" s="254"/>
      <c r="AU442" s="254"/>
      <c r="AV442" s="254"/>
      <c r="AW442" s="254"/>
      <c r="AX442" s="254"/>
      <c r="AY442" s="254"/>
      <c r="AZ442" s="254"/>
      <c r="BA442" s="254"/>
      <c r="BB442" s="254"/>
      <c r="BC442" s="254"/>
      <c r="BD442" s="254"/>
      <c r="BE442" s="255"/>
    </row>
    <row r="443" spans="2:57" x14ac:dyDescent="0.25">
      <c r="B443" s="253"/>
      <c r="C443" s="387" t="str">
        <f>'II. Inputs, Baseline Energy Mix'!$E$81</f>
        <v xml:space="preserve">Term of Political Risk Insurance </v>
      </c>
      <c r="D443" s="254"/>
      <c r="E443" s="254"/>
      <c r="F443" s="254"/>
      <c r="G443" s="256">
        <f>'II. Inputs, Baseline Energy Mix'!$O$81</f>
        <v>0</v>
      </c>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c r="AT443" s="254"/>
      <c r="AU443" s="254"/>
      <c r="AV443" s="254"/>
      <c r="AW443" s="254"/>
      <c r="AX443" s="254"/>
      <c r="AY443" s="254"/>
      <c r="AZ443" s="254"/>
      <c r="BA443" s="254"/>
      <c r="BB443" s="254"/>
      <c r="BC443" s="254"/>
      <c r="BD443" s="254"/>
      <c r="BE443" s="255"/>
    </row>
    <row r="444" spans="2:57" x14ac:dyDescent="0.25">
      <c r="B444" s="253"/>
      <c r="C444" s="387" t="str">
        <f>'II. Inputs, Baseline Energy Mix'!$E$82</f>
        <v xml:space="preserve">Front-end Fee </v>
      </c>
      <c r="D444" s="254"/>
      <c r="E444" s="254"/>
      <c r="F444" s="254"/>
      <c r="G444" s="264">
        <f>'II. Inputs, Baseline Energy Mix'!$O$82</f>
        <v>0</v>
      </c>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c r="AT444" s="254"/>
      <c r="AU444" s="254"/>
      <c r="AV444" s="254"/>
      <c r="AW444" s="254"/>
      <c r="AX444" s="254"/>
      <c r="AY444" s="254"/>
      <c r="AZ444" s="254"/>
      <c r="BA444" s="254"/>
      <c r="BB444" s="254"/>
      <c r="BC444" s="254"/>
      <c r="BD444" s="254"/>
      <c r="BE444" s="255"/>
    </row>
    <row r="445" spans="2:57" x14ac:dyDescent="0.25">
      <c r="B445" s="253"/>
      <c r="C445" s="387" t="str">
        <f>'II. Inputs, Baseline Energy Mix'!$E$83</f>
        <v xml:space="preserve">Annual Political Risk Insurance Premium </v>
      </c>
      <c r="D445" s="254"/>
      <c r="E445" s="254"/>
      <c r="F445" s="254"/>
      <c r="G445" s="264">
        <f>'II. Inputs, Baseline Energy Mix'!$O$83</f>
        <v>0</v>
      </c>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c r="AT445" s="254"/>
      <c r="AU445" s="254"/>
      <c r="AV445" s="254"/>
      <c r="AW445" s="254"/>
      <c r="AX445" s="254"/>
      <c r="AY445" s="254"/>
      <c r="AZ445" s="254"/>
      <c r="BA445" s="254"/>
      <c r="BB445" s="254"/>
      <c r="BC445" s="254"/>
      <c r="BD445" s="254"/>
      <c r="BE445" s="255"/>
    </row>
    <row r="446" spans="2:57" x14ac:dyDescent="0.25">
      <c r="B446" s="253"/>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c r="AT446" s="254"/>
      <c r="AU446" s="254"/>
      <c r="AV446" s="254"/>
      <c r="AW446" s="254"/>
      <c r="AX446" s="254"/>
      <c r="AY446" s="254"/>
      <c r="AZ446" s="254"/>
      <c r="BA446" s="254"/>
      <c r="BB446" s="254"/>
      <c r="BC446" s="254"/>
      <c r="BD446" s="254"/>
      <c r="BE446" s="255"/>
    </row>
    <row r="447" spans="2:57" x14ac:dyDescent="0.25">
      <c r="B447" s="253"/>
      <c r="C447" s="390" t="s">
        <v>71</v>
      </c>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c r="AT447" s="254"/>
      <c r="AU447" s="254"/>
      <c r="AV447" s="254"/>
      <c r="AW447" s="254"/>
      <c r="AX447" s="254"/>
      <c r="AY447" s="254"/>
      <c r="AZ447" s="254"/>
      <c r="BA447" s="254"/>
      <c r="BB447" s="254"/>
      <c r="BC447" s="254"/>
      <c r="BD447" s="254"/>
      <c r="BE447" s="255"/>
    </row>
    <row r="448" spans="2:57" x14ac:dyDescent="0.25">
      <c r="B448" s="253"/>
      <c r="C448" s="254" t="str">
        <f>'II. Inputs, Baseline Energy Mix'!$E$82</f>
        <v xml:space="preserve">Front-end Fee </v>
      </c>
      <c r="D448" s="254"/>
      <c r="E448" s="254"/>
      <c r="F448" s="254"/>
      <c r="G448" s="254"/>
      <c r="H448" s="264">
        <f>IF(G442&gt;0, G442*G444/10000, 0)</f>
        <v>0</v>
      </c>
      <c r="I448" s="264">
        <v>0</v>
      </c>
      <c r="J448" s="264">
        <v>0</v>
      </c>
      <c r="K448" s="264">
        <v>0</v>
      </c>
      <c r="L448" s="264">
        <v>0</v>
      </c>
      <c r="M448" s="264">
        <v>0</v>
      </c>
      <c r="N448" s="264">
        <v>0</v>
      </c>
      <c r="O448" s="264">
        <v>0</v>
      </c>
      <c r="P448" s="264">
        <v>0</v>
      </c>
      <c r="Q448" s="264">
        <v>0</v>
      </c>
      <c r="R448" s="264">
        <v>0</v>
      </c>
      <c r="S448" s="264">
        <v>0</v>
      </c>
      <c r="T448" s="264">
        <v>0</v>
      </c>
      <c r="U448" s="264">
        <v>0</v>
      </c>
      <c r="V448" s="264">
        <v>0</v>
      </c>
      <c r="W448" s="264">
        <v>0</v>
      </c>
      <c r="X448" s="264">
        <v>0</v>
      </c>
      <c r="Y448" s="264">
        <v>0</v>
      </c>
      <c r="Z448" s="264">
        <v>0</v>
      </c>
      <c r="AA448" s="264">
        <v>0</v>
      </c>
      <c r="AB448" s="264">
        <v>0</v>
      </c>
      <c r="AC448" s="264">
        <v>0</v>
      </c>
      <c r="AD448" s="264">
        <v>0</v>
      </c>
      <c r="AE448" s="264">
        <v>0</v>
      </c>
      <c r="AF448" s="264">
        <v>0</v>
      </c>
      <c r="AG448" s="264">
        <v>0</v>
      </c>
      <c r="AH448" s="264">
        <v>0</v>
      </c>
      <c r="AI448" s="264">
        <v>0</v>
      </c>
      <c r="AJ448" s="264">
        <v>0</v>
      </c>
      <c r="AK448" s="264">
        <v>0</v>
      </c>
      <c r="AL448" s="264">
        <v>0</v>
      </c>
      <c r="AM448" s="264">
        <v>0</v>
      </c>
      <c r="AN448" s="264">
        <v>0</v>
      </c>
      <c r="AO448" s="264">
        <v>0</v>
      </c>
      <c r="AP448" s="264">
        <v>0</v>
      </c>
      <c r="AQ448" s="264">
        <v>0</v>
      </c>
      <c r="AR448" s="264">
        <v>0</v>
      </c>
      <c r="AS448" s="264">
        <v>0</v>
      </c>
      <c r="AT448" s="264">
        <v>0</v>
      </c>
      <c r="AU448" s="264">
        <v>0</v>
      </c>
      <c r="AV448" s="264">
        <v>0</v>
      </c>
      <c r="AW448" s="264">
        <v>0</v>
      </c>
      <c r="AX448" s="264">
        <v>0</v>
      </c>
      <c r="AY448" s="264">
        <v>0</v>
      </c>
      <c r="AZ448" s="264">
        <v>0</v>
      </c>
      <c r="BA448" s="264">
        <v>0</v>
      </c>
      <c r="BB448" s="264">
        <v>0</v>
      </c>
      <c r="BC448" s="264">
        <v>0</v>
      </c>
      <c r="BD448" s="264">
        <v>0</v>
      </c>
      <c r="BE448" s="1296">
        <v>0</v>
      </c>
    </row>
    <row r="449" spans="2:57" x14ac:dyDescent="0.25">
      <c r="B449" s="253"/>
      <c r="C449" s="261" t="str">
        <f>'II. Inputs, Baseline Energy Mix'!$E$83</f>
        <v xml:space="preserve">Annual Political Risk Insurance Premium </v>
      </c>
      <c r="D449" s="261"/>
      <c r="E449" s="261"/>
      <c r="F449" s="261"/>
      <c r="G449" s="261"/>
      <c r="H449" s="1297">
        <f>IF(H$299&gt;$G443,0,($G442*$G445/10000))</f>
        <v>0</v>
      </c>
      <c r="I449" s="1297">
        <f>IF(I$299&gt;$G$443,0,($G$442*$G$445/10000))</f>
        <v>0</v>
      </c>
      <c r="J449" s="1297">
        <f t="shared" ref="J449:BE449" si="155">IF(J$299&gt;$G$443,0,($G$442*$G$445/10000))</f>
        <v>0</v>
      </c>
      <c r="K449" s="1297">
        <f t="shared" si="155"/>
        <v>0</v>
      </c>
      <c r="L449" s="1297">
        <f t="shared" si="155"/>
        <v>0</v>
      </c>
      <c r="M449" s="1297">
        <f t="shared" si="155"/>
        <v>0</v>
      </c>
      <c r="N449" s="1297">
        <f t="shared" si="155"/>
        <v>0</v>
      </c>
      <c r="O449" s="1297">
        <f t="shared" si="155"/>
        <v>0</v>
      </c>
      <c r="P449" s="1297">
        <f t="shared" si="155"/>
        <v>0</v>
      </c>
      <c r="Q449" s="1297">
        <f t="shared" si="155"/>
        <v>0</v>
      </c>
      <c r="R449" s="1297">
        <f t="shared" si="155"/>
        <v>0</v>
      </c>
      <c r="S449" s="1297">
        <f t="shared" si="155"/>
        <v>0</v>
      </c>
      <c r="T449" s="1297">
        <f t="shared" si="155"/>
        <v>0</v>
      </c>
      <c r="U449" s="1297">
        <f t="shared" si="155"/>
        <v>0</v>
      </c>
      <c r="V449" s="1297">
        <f t="shared" si="155"/>
        <v>0</v>
      </c>
      <c r="W449" s="1297">
        <f t="shared" si="155"/>
        <v>0</v>
      </c>
      <c r="X449" s="1297">
        <f t="shared" si="155"/>
        <v>0</v>
      </c>
      <c r="Y449" s="1297">
        <f t="shared" si="155"/>
        <v>0</v>
      </c>
      <c r="Z449" s="1297">
        <f t="shared" si="155"/>
        <v>0</v>
      </c>
      <c r="AA449" s="1297">
        <f t="shared" si="155"/>
        <v>0</v>
      </c>
      <c r="AB449" s="1297">
        <f t="shared" si="155"/>
        <v>0</v>
      </c>
      <c r="AC449" s="1297">
        <f t="shared" si="155"/>
        <v>0</v>
      </c>
      <c r="AD449" s="1297">
        <f t="shared" si="155"/>
        <v>0</v>
      </c>
      <c r="AE449" s="1297">
        <f t="shared" si="155"/>
        <v>0</v>
      </c>
      <c r="AF449" s="1297">
        <f t="shared" si="155"/>
        <v>0</v>
      </c>
      <c r="AG449" s="1297">
        <f t="shared" si="155"/>
        <v>0</v>
      </c>
      <c r="AH449" s="1297">
        <f t="shared" si="155"/>
        <v>0</v>
      </c>
      <c r="AI449" s="1297">
        <f t="shared" si="155"/>
        <v>0</v>
      </c>
      <c r="AJ449" s="1297">
        <f t="shared" si="155"/>
        <v>0</v>
      </c>
      <c r="AK449" s="1297">
        <f t="shared" si="155"/>
        <v>0</v>
      </c>
      <c r="AL449" s="1297">
        <f t="shared" si="155"/>
        <v>0</v>
      </c>
      <c r="AM449" s="1297">
        <f t="shared" si="155"/>
        <v>0</v>
      </c>
      <c r="AN449" s="1297">
        <f t="shared" si="155"/>
        <v>0</v>
      </c>
      <c r="AO449" s="1297">
        <f t="shared" si="155"/>
        <v>0</v>
      </c>
      <c r="AP449" s="1297">
        <f t="shared" si="155"/>
        <v>0</v>
      </c>
      <c r="AQ449" s="1297">
        <f t="shared" si="155"/>
        <v>0</v>
      </c>
      <c r="AR449" s="1297">
        <f t="shared" si="155"/>
        <v>0</v>
      </c>
      <c r="AS449" s="1297">
        <f t="shared" si="155"/>
        <v>0</v>
      </c>
      <c r="AT449" s="1297">
        <f t="shared" si="155"/>
        <v>0</v>
      </c>
      <c r="AU449" s="1297">
        <f t="shared" si="155"/>
        <v>0</v>
      </c>
      <c r="AV449" s="1297">
        <f t="shared" si="155"/>
        <v>0</v>
      </c>
      <c r="AW449" s="1297">
        <f t="shared" si="155"/>
        <v>0</v>
      </c>
      <c r="AX449" s="1297">
        <f t="shared" si="155"/>
        <v>0</v>
      </c>
      <c r="AY449" s="1297">
        <f t="shared" si="155"/>
        <v>0</v>
      </c>
      <c r="AZ449" s="1297">
        <f t="shared" si="155"/>
        <v>0</v>
      </c>
      <c r="BA449" s="1297">
        <f t="shared" si="155"/>
        <v>0</v>
      </c>
      <c r="BB449" s="1297">
        <f t="shared" si="155"/>
        <v>0</v>
      </c>
      <c r="BC449" s="1297">
        <f t="shared" si="155"/>
        <v>0</v>
      </c>
      <c r="BD449" s="1297">
        <f t="shared" si="155"/>
        <v>0</v>
      </c>
      <c r="BE449" s="1298">
        <f t="shared" si="155"/>
        <v>0</v>
      </c>
    </row>
    <row r="450" spans="2:57" x14ac:dyDescent="0.25">
      <c r="B450" s="253"/>
      <c r="C450" s="254" t="s">
        <v>85</v>
      </c>
      <c r="D450" s="254"/>
      <c r="E450" s="254"/>
      <c r="F450" s="254"/>
      <c r="G450" s="254"/>
      <c r="H450" s="264">
        <f>H448+H449</f>
        <v>0</v>
      </c>
      <c r="I450" s="264">
        <f t="shared" ref="I450:BE450" si="156">I448+I449</f>
        <v>0</v>
      </c>
      <c r="J450" s="264">
        <f t="shared" si="156"/>
        <v>0</v>
      </c>
      <c r="K450" s="264">
        <f t="shared" si="156"/>
        <v>0</v>
      </c>
      <c r="L450" s="264">
        <f t="shared" si="156"/>
        <v>0</v>
      </c>
      <c r="M450" s="264">
        <f t="shared" si="156"/>
        <v>0</v>
      </c>
      <c r="N450" s="264">
        <f t="shared" si="156"/>
        <v>0</v>
      </c>
      <c r="O450" s="264">
        <f t="shared" si="156"/>
        <v>0</v>
      </c>
      <c r="P450" s="264">
        <f t="shared" si="156"/>
        <v>0</v>
      </c>
      <c r="Q450" s="264">
        <f t="shared" si="156"/>
        <v>0</v>
      </c>
      <c r="R450" s="264">
        <f t="shared" si="156"/>
        <v>0</v>
      </c>
      <c r="S450" s="264">
        <f t="shared" si="156"/>
        <v>0</v>
      </c>
      <c r="T450" s="264">
        <f t="shared" si="156"/>
        <v>0</v>
      </c>
      <c r="U450" s="264">
        <f t="shared" si="156"/>
        <v>0</v>
      </c>
      <c r="V450" s="264">
        <f t="shared" si="156"/>
        <v>0</v>
      </c>
      <c r="W450" s="264">
        <f t="shared" si="156"/>
        <v>0</v>
      </c>
      <c r="X450" s="264">
        <f t="shared" si="156"/>
        <v>0</v>
      </c>
      <c r="Y450" s="264">
        <f t="shared" si="156"/>
        <v>0</v>
      </c>
      <c r="Z450" s="264">
        <f t="shared" si="156"/>
        <v>0</v>
      </c>
      <c r="AA450" s="264">
        <f t="shared" si="156"/>
        <v>0</v>
      </c>
      <c r="AB450" s="264">
        <f t="shared" si="156"/>
        <v>0</v>
      </c>
      <c r="AC450" s="264">
        <f t="shared" si="156"/>
        <v>0</v>
      </c>
      <c r="AD450" s="264">
        <f t="shared" si="156"/>
        <v>0</v>
      </c>
      <c r="AE450" s="264">
        <f t="shared" si="156"/>
        <v>0</v>
      </c>
      <c r="AF450" s="264">
        <f t="shared" si="156"/>
        <v>0</v>
      </c>
      <c r="AG450" s="264">
        <f t="shared" si="156"/>
        <v>0</v>
      </c>
      <c r="AH450" s="264">
        <f t="shared" si="156"/>
        <v>0</v>
      </c>
      <c r="AI450" s="264">
        <f t="shared" si="156"/>
        <v>0</v>
      </c>
      <c r="AJ450" s="264">
        <f t="shared" si="156"/>
        <v>0</v>
      </c>
      <c r="AK450" s="264">
        <f t="shared" si="156"/>
        <v>0</v>
      </c>
      <c r="AL450" s="264">
        <f t="shared" si="156"/>
        <v>0</v>
      </c>
      <c r="AM450" s="264">
        <f t="shared" si="156"/>
        <v>0</v>
      </c>
      <c r="AN450" s="264">
        <f t="shared" si="156"/>
        <v>0</v>
      </c>
      <c r="AO450" s="264">
        <f t="shared" si="156"/>
        <v>0</v>
      </c>
      <c r="AP450" s="264">
        <f t="shared" si="156"/>
        <v>0</v>
      </c>
      <c r="AQ450" s="264">
        <f t="shared" si="156"/>
        <v>0</v>
      </c>
      <c r="AR450" s="264">
        <f t="shared" si="156"/>
        <v>0</v>
      </c>
      <c r="AS450" s="264">
        <f t="shared" si="156"/>
        <v>0</v>
      </c>
      <c r="AT450" s="264">
        <f t="shared" si="156"/>
        <v>0</v>
      </c>
      <c r="AU450" s="264">
        <f t="shared" si="156"/>
        <v>0</v>
      </c>
      <c r="AV450" s="264">
        <f t="shared" si="156"/>
        <v>0</v>
      </c>
      <c r="AW450" s="264">
        <f t="shared" si="156"/>
        <v>0</v>
      </c>
      <c r="AX450" s="264">
        <f t="shared" si="156"/>
        <v>0</v>
      </c>
      <c r="AY450" s="264">
        <f t="shared" si="156"/>
        <v>0</v>
      </c>
      <c r="AZ450" s="264">
        <f t="shared" si="156"/>
        <v>0</v>
      </c>
      <c r="BA450" s="264">
        <f t="shared" si="156"/>
        <v>0</v>
      </c>
      <c r="BB450" s="264">
        <f t="shared" si="156"/>
        <v>0</v>
      </c>
      <c r="BC450" s="264">
        <f t="shared" si="156"/>
        <v>0</v>
      </c>
      <c r="BD450" s="264">
        <f t="shared" si="156"/>
        <v>0</v>
      </c>
      <c r="BE450" s="1296">
        <f t="shared" si="156"/>
        <v>0</v>
      </c>
    </row>
    <row r="451" spans="2:57" ht="13.8" thickBot="1" x14ac:dyDescent="0.3">
      <c r="B451" s="270"/>
      <c r="C451" s="271"/>
      <c r="D451" s="271"/>
      <c r="E451" s="271"/>
      <c r="F451" s="271"/>
      <c r="G451" s="271"/>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272"/>
      <c r="AL451" s="272"/>
      <c r="AM451" s="272"/>
      <c r="AN451" s="272"/>
      <c r="AO451" s="272"/>
      <c r="AP451" s="272"/>
      <c r="AQ451" s="272"/>
      <c r="AR451" s="272"/>
      <c r="AS451" s="272"/>
      <c r="AT451" s="272"/>
      <c r="AU451" s="272"/>
      <c r="AV451" s="272"/>
      <c r="AW451" s="272"/>
      <c r="AX451" s="272"/>
      <c r="AY451" s="272"/>
      <c r="AZ451" s="272"/>
      <c r="BA451" s="272"/>
      <c r="BB451" s="272"/>
      <c r="BC451" s="272"/>
      <c r="BD451" s="272"/>
      <c r="BE451" s="392"/>
    </row>
    <row r="452" spans="2:57" x14ac:dyDescent="0.25">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249"/>
      <c r="AM452" s="249"/>
      <c r="AN452" s="249"/>
      <c r="AO452" s="249"/>
      <c r="AP452" s="249"/>
      <c r="AQ452" s="249"/>
      <c r="AR452" s="249"/>
      <c r="AS452" s="249"/>
      <c r="AT452" s="249"/>
      <c r="AU452" s="249"/>
      <c r="AV452" s="249"/>
      <c r="AW452" s="249"/>
      <c r="AX452" s="249"/>
      <c r="AY452" s="249"/>
      <c r="AZ452" s="249"/>
      <c r="BA452" s="249"/>
      <c r="BB452" s="249"/>
      <c r="BC452" s="249"/>
      <c r="BD452" s="249"/>
      <c r="BE452" s="249"/>
    </row>
    <row r="453" spans="2:57" s="36" customFormat="1" x14ac:dyDescent="0.25">
      <c r="B453" s="213" t="s">
        <v>58</v>
      </c>
      <c r="C453" s="214"/>
      <c r="D453" s="214"/>
      <c r="E453" s="215"/>
      <c r="F453" s="214"/>
      <c r="G453" s="215">
        <v>0</v>
      </c>
      <c r="H453" s="215">
        <v>1</v>
      </c>
      <c r="I453" s="215">
        <v>2</v>
      </c>
      <c r="J453" s="215">
        <v>3</v>
      </c>
      <c r="K453" s="215">
        <v>4</v>
      </c>
      <c r="L453" s="215">
        <v>5</v>
      </c>
      <c r="M453" s="215">
        <v>6</v>
      </c>
      <c r="N453" s="215">
        <v>7</v>
      </c>
      <c r="O453" s="215">
        <v>8</v>
      </c>
      <c r="P453" s="215">
        <v>9</v>
      </c>
      <c r="Q453" s="215">
        <v>10</v>
      </c>
      <c r="R453" s="215">
        <v>11</v>
      </c>
      <c r="S453" s="215">
        <v>12</v>
      </c>
      <c r="T453" s="215">
        <v>13</v>
      </c>
      <c r="U453" s="215">
        <v>14</v>
      </c>
      <c r="V453" s="215">
        <v>15</v>
      </c>
      <c r="W453" s="215">
        <v>16</v>
      </c>
      <c r="X453" s="215">
        <v>17</v>
      </c>
      <c r="Y453" s="215">
        <v>18</v>
      </c>
      <c r="Z453" s="215">
        <v>19</v>
      </c>
      <c r="AA453" s="215">
        <v>20</v>
      </c>
      <c r="AB453" s="215">
        <v>21</v>
      </c>
      <c r="AC453" s="215">
        <v>22</v>
      </c>
      <c r="AD453" s="215">
        <v>23</v>
      </c>
      <c r="AE453" s="215">
        <v>24</v>
      </c>
      <c r="AF453" s="215">
        <v>25</v>
      </c>
      <c r="AG453" s="215">
        <v>26</v>
      </c>
      <c r="AH453" s="215">
        <v>27</v>
      </c>
      <c r="AI453" s="215">
        <v>28</v>
      </c>
      <c r="AJ453" s="215">
        <v>29</v>
      </c>
      <c r="AK453" s="215">
        <v>30</v>
      </c>
      <c r="AL453" s="215">
        <v>31</v>
      </c>
      <c r="AM453" s="215">
        <v>32</v>
      </c>
      <c r="AN453" s="215">
        <v>33</v>
      </c>
      <c r="AO453" s="215">
        <v>34</v>
      </c>
      <c r="AP453" s="215">
        <v>35</v>
      </c>
      <c r="AQ453" s="215">
        <v>36</v>
      </c>
      <c r="AR453" s="215">
        <v>37</v>
      </c>
      <c r="AS453" s="215">
        <v>38</v>
      </c>
      <c r="AT453" s="215">
        <v>39</v>
      </c>
      <c r="AU453" s="215">
        <v>40</v>
      </c>
      <c r="AV453" s="215">
        <v>41</v>
      </c>
      <c r="AW453" s="215">
        <v>42</v>
      </c>
      <c r="AX453" s="215">
        <v>43</v>
      </c>
      <c r="AY453" s="215">
        <v>44</v>
      </c>
      <c r="AZ453" s="215">
        <v>45</v>
      </c>
      <c r="BA453" s="215">
        <v>46</v>
      </c>
      <c r="BB453" s="215">
        <v>47</v>
      </c>
      <c r="BC453" s="215">
        <v>48</v>
      </c>
      <c r="BD453" s="215">
        <v>49</v>
      </c>
      <c r="BE453" s="215">
        <v>50</v>
      </c>
    </row>
    <row r="454" spans="2:57" ht="13.8" thickBot="1" x14ac:dyDescent="0.3">
      <c r="B454" s="33"/>
      <c r="C454" s="34"/>
      <c r="D454" s="34"/>
      <c r="E454" s="208"/>
      <c r="G454" s="208"/>
      <c r="H454" s="208"/>
      <c r="I454" s="208"/>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208"/>
      <c r="AO454" s="208"/>
      <c r="AP454" s="208"/>
      <c r="AQ454" s="208"/>
      <c r="AR454" s="208"/>
      <c r="AS454" s="208"/>
      <c r="AT454" s="208"/>
      <c r="AU454" s="208"/>
      <c r="AV454" s="208"/>
      <c r="AW454" s="208"/>
      <c r="AX454" s="208"/>
      <c r="AY454" s="208"/>
      <c r="AZ454" s="208"/>
      <c r="BA454" s="208"/>
      <c r="BB454" s="208"/>
      <c r="BC454" s="208"/>
      <c r="BD454" s="208"/>
      <c r="BE454" s="208"/>
    </row>
    <row r="455" spans="2:57" s="36" customFormat="1" x14ac:dyDescent="0.25">
      <c r="B455" s="274" t="str">
        <f>B110</f>
        <v>HYDRO</v>
      </c>
      <c r="C455" s="2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c r="AE455" s="275"/>
      <c r="AF455" s="275"/>
      <c r="AG455" s="275"/>
      <c r="AH455" s="275"/>
      <c r="AI455" s="275"/>
      <c r="AJ455" s="275"/>
      <c r="AK455" s="275"/>
      <c r="AL455" s="275"/>
      <c r="AM455" s="275"/>
      <c r="AN455" s="275"/>
      <c r="AO455" s="275"/>
      <c r="AP455" s="275"/>
      <c r="AQ455" s="275"/>
      <c r="AR455" s="275"/>
      <c r="AS455" s="275"/>
      <c r="AT455" s="275"/>
      <c r="AU455" s="275"/>
      <c r="AV455" s="275"/>
      <c r="AW455" s="275"/>
      <c r="AX455" s="275"/>
      <c r="AY455" s="275"/>
      <c r="AZ455" s="275"/>
      <c r="BA455" s="275"/>
      <c r="BB455" s="275"/>
      <c r="BC455" s="275"/>
      <c r="BD455" s="275"/>
      <c r="BE455" s="276"/>
    </row>
    <row r="456" spans="2:57" x14ac:dyDescent="0.25">
      <c r="B456" s="277"/>
      <c r="C456" s="278"/>
      <c r="D456" s="278"/>
      <c r="E456" s="278"/>
      <c r="F456" s="278"/>
      <c r="G456" s="278"/>
      <c r="H456" s="278"/>
      <c r="I456" s="278"/>
      <c r="J456" s="278"/>
      <c r="K456" s="278"/>
      <c r="L456" s="278"/>
      <c r="M456" s="278"/>
      <c r="N456" s="278"/>
      <c r="O456" s="278"/>
      <c r="P456" s="278"/>
      <c r="Q456" s="278"/>
      <c r="R456" s="278"/>
      <c r="S456" s="278"/>
      <c r="T456" s="278"/>
      <c r="U456" s="278"/>
      <c r="V456" s="278"/>
      <c r="W456" s="278"/>
      <c r="X456" s="278"/>
      <c r="Y456" s="278"/>
      <c r="Z456" s="278"/>
      <c r="AA456" s="278"/>
      <c r="AB456" s="278"/>
      <c r="AC456" s="278"/>
      <c r="AD456" s="278"/>
      <c r="AE456" s="278"/>
      <c r="AF456" s="278"/>
      <c r="AG456" s="278"/>
      <c r="AH456" s="278"/>
      <c r="AI456" s="278"/>
      <c r="AJ456" s="278"/>
      <c r="AK456" s="278"/>
      <c r="AL456" s="278"/>
      <c r="AM456" s="278"/>
      <c r="AN456" s="278"/>
      <c r="AO456" s="278"/>
      <c r="AP456" s="278"/>
      <c r="AQ456" s="278"/>
      <c r="AR456" s="278"/>
      <c r="AS456" s="278"/>
      <c r="AT456" s="278"/>
      <c r="AU456" s="278"/>
      <c r="AV456" s="278"/>
      <c r="AW456" s="278"/>
      <c r="AX456" s="278"/>
      <c r="AY456" s="278"/>
      <c r="AZ456" s="278"/>
      <c r="BA456" s="278"/>
      <c r="BB456" s="278"/>
      <c r="BC456" s="278"/>
      <c r="BD456" s="278"/>
      <c r="BE456" s="279"/>
    </row>
    <row r="457" spans="2:57" x14ac:dyDescent="0.25">
      <c r="B457" s="289" t="s">
        <v>257</v>
      </c>
      <c r="C457" s="278"/>
      <c r="D457" s="278"/>
      <c r="E457" s="278"/>
      <c r="F457" s="278"/>
      <c r="G457" s="278"/>
      <c r="H457" s="278"/>
      <c r="I457" s="278"/>
      <c r="J457" s="278"/>
      <c r="K457" s="278"/>
      <c r="L457" s="278"/>
      <c r="M457" s="278"/>
      <c r="N457" s="278"/>
      <c r="O457" s="278"/>
      <c r="P457" s="278"/>
      <c r="Q457" s="278"/>
      <c r="R457" s="278"/>
      <c r="S457" s="278"/>
      <c r="T457" s="278"/>
      <c r="U457" s="278"/>
      <c r="V457" s="278"/>
      <c r="W457" s="278"/>
      <c r="X457" s="278"/>
      <c r="Y457" s="278"/>
      <c r="Z457" s="278"/>
      <c r="AA457" s="278"/>
      <c r="AB457" s="278"/>
      <c r="AC457" s="278"/>
      <c r="AD457" s="278"/>
      <c r="AE457" s="278"/>
      <c r="AF457" s="278"/>
      <c r="AG457" s="278"/>
      <c r="AH457" s="278"/>
      <c r="AI457" s="278"/>
      <c r="AJ457" s="278"/>
      <c r="AK457" s="278"/>
      <c r="AL457" s="278"/>
      <c r="AM457" s="278"/>
      <c r="AN457" s="278"/>
      <c r="AO457" s="278"/>
      <c r="AP457" s="278"/>
      <c r="AQ457" s="278"/>
      <c r="AR457" s="278"/>
      <c r="AS457" s="278"/>
      <c r="AT457" s="278"/>
      <c r="AU457" s="278"/>
      <c r="AV457" s="278"/>
      <c r="AW457" s="278"/>
      <c r="AX457" s="278"/>
      <c r="AY457" s="278"/>
      <c r="AZ457" s="278"/>
      <c r="BA457" s="278"/>
      <c r="BB457" s="278"/>
      <c r="BC457" s="278"/>
      <c r="BD457" s="278"/>
      <c r="BE457" s="279"/>
    </row>
    <row r="458" spans="2:57" x14ac:dyDescent="0.25">
      <c r="B458" s="277"/>
      <c r="C458" s="393" t="s">
        <v>68</v>
      </c>
      <c r="D458" s="281" t="s">
        <v>22</v>
      </c>
      <c r="E458" s="278"/>
      <c r="F458" s="278"/>
      <c r="G458" s="288">
        <f>IF('II. Inputs, Baseline Energy Mix'!$P$15&gt;0,('II. Inputs, Baseline Energy Mix'!$P$16*'II. Inputs, Baseline Energy Mix'!$P$17*'II. Inputs, Baseline Energy Mix'!$P$30*'II. Inputs, Baseline Energy Mix'!$P$32),0)</f>
        <v>0</v>
      </c>
      <c r="H458" s="278"/>
      <c r="I458" s="278"/>
      <c r="J458" s="278"/>
      <c r="K458" s="278"/>
      <c r="L458" s="278"/>
      <c r="M458" s="278"/>
      <c r="N458" s="278"/>
      <c r="O458" s="278"/>
      <c r="P458" s="278"/>
      <c r="Q458" s="278"/>
      <c r="R458" s="278"/>
      <c r="S458" s="278"/>
      <c r="T458" s="278"/>
      <c r="U458" s="278"/>
      <c r="V458" s="278"/>
      <c r="W458" s="278"/>
      <c r="X458" s="278"/>
      <c r="Y458" s="278"/>
      <c r="Z458" s="278"/>
      <c r="AA458" s="278"/>
      <c r="AB458" s="278"/>
      <c r="AC458" s="278"/>
      <c r="AD458" s="278"/>
      <c r="AE458" s="278"/>
      <c r="AF458" s="278"/>
      <c r="AG458" s="278"/>
      <c r="AH458" s="278"/>
      <c r="AI458" s="278"/>
      <c r="AJ458" s="278"/>
      <c r="AK458" s="278"/>
      <c r="AL458" s="278"/>
      <c r="AM458" s="278"/>
      <c r="AN458" s="278"/>
      <c r="AO458" s="278"/>
      <c r="AP458" s="278"/>
      <c r="AQ458" s="278"/>
      <c r="AR458" s="278"/>
      <c r="AS458" s="278"/>
      <c r="AT458" s="278"/>
      <c r="AU458" s="278"/>
      <c r="AV458" s="278"/>
      <c r="AW458" s="278"/>
      <c r="AX458" s="278"/>
      <c r="AY458" s="278"/>
      <c r="AZ458" s="278"/>
      <c r="BA458" s="278"/>
      <c r="BB458" s="278"/>
      <c r="BC458" s="278"/>
      <c r="BD458" s="278"/>
      <c r="BE458" s="279"/>
    </row>
    <row r="459" spans="2:57" x14ac:dyDescent="0.25">
      <c r="B459" s="277"/>
      <c r="C459" s="393" t="s">
        <v>69</v>
      </c>
      <c r="D459" s="281" t="s">
        <v>20</v>
      </c>
      <c r="E459" s="278"/>
      <c r="F459" s="278"/>
      <c r="G459" s="280">
        <f>SUM('II. Inputs, Baseline Energy Mix'!$P$69)</f>
        <v>0</v>
      </c>
      <c r="H459" s="278"/>
      <c r="I459" s="278"/>
      <c r="J459" s="278"/>
      <c r="K459" s="278"/>
      <c r="L459" s="278"/>
      <c r="M459" s="278"/>
      <c r="N459" s="278"/>
      <c r="O459" s="278"/>
      <c r="P459" s="278"/>
      <c r="Q459" s="278"/>
      <c r="R459" s="278"/>
      <c r="S459" s="278"/>
      <c r="T459" s="278"/>
      <c r="U459" s="278"/>
      <c r="V459" s="278"/>
      <c r="W459" s="278"/>
      <c r="X459" s="278"/>
      <c r="Y459" s="278"/>
      <c r="Z459" s="278"/>
      <c r="AA459" s="278"/>
      <c r="AB459" s="278"/>
      <c r="AC459" s="278"/>
      <c r="AD459" s="278"/>
      <c r="AE459" s="278"/>
      <c r="AF459" s="278"/>
      <c r="AG459" s="278"/>
      <c r="AH459" s="278"/>
      <c r="AI459" s="278"/>
      <c r="AJ459" s="278"/>
      <c r="AK459" s="278"/>
      <c r="AL459" s="278"/>
      <c r="AM459" s="278"/>
      <c r="AN459" s="278"/>
      <c r="AO459" s="278"/>
      <c r="AP459" s="278"/>
      <c r="AQ459" s="278"/>
      <c r="AR459" s="278"/>
      <c r="AS459" s="278"/>
      <c r="AT459" s="278"/>
      <c r="AU459" s="278"/>
      <c r="AV459" s="278"/>
      <c r="AW459" s="278"/>
      <c r="AX459" s="278"/>
      <c r="AY459" s="278"/>
      <c r="AZ459" s="278"/>
      <c r="BA459" s="278"/>
      <c r="BB459" s="278"/>
      <c r="BC459" s="278"/>
      <c r="BD459" s="278"/>
      <c r="BE459" s="279"/>
    </row>
    <row r="460" spans="2:57" x14ac:dyDescent="0.25">
      <c r="B460" s="277"/>
      <c r="C460" s="393" t="s">
        <v>70</v>
      </c>
      <c r="D460" s="281" t="s">
        <v>16</v>
      </c>
      <c r="E460" s="278"/>
      <c r="F460" s="278"/>
      <c r="G460" s="394">
        <f>SUM('II. Inputs, Baseline Energy Mix'!$P$68)</f>
        <v>0</v>
      </c>
      <c r="H460" s="278"/>
      <c r="I460" s="278"/>
      <c r="J460" s="278"/>
      <c r="K460" s="278"/>
      <c r="L460" s="278"/>
      <c r="M460" s="278"/>
      <c r="N460" s="278"/>
      <c r="O460" s="278"/>
      <c r="P460" s="278"/>
      <c r="Q460" s="278"/>
      <c r="R460" s="278"/>
      <c r="S460" s="278"/>
      <c r="T460" s="278"/>
      <c r="U460" s="278"/>
      <c r="V460" s="278"/>
      <c r="W460" s="278"/>
      <c r="X460" s="278"/>
      <c r="Y460" s="278"/>
      <c r="Z460" s="278"/>
      <c r="AA460" s="278"/>
      <c r="AB460" s="278"/>
      <c r="AC460" s="278"/>
      <c r="AD460" s="278"/>
      <c r="AE460" s="278"/>
      <c r="AF460" s="278"/>
      <c r="AG460" s="278"/>
      <c r="AH460" s="278"/>
      <c r="AI460" s="278"/>
      <c r="AJ460" s="278"/>
      <c r="AK460" s="278"/>
      <c r="AL460" s="278"/>
      <c r="AM460" s="278"/>
      <c r="AN460" s="278"/>
      <c r="AO460" s="278"/>
      <c r="AP460" s="278"/>
      <c r="AQ460" s="278"/>
      <c r="AR460" s="278"/>
      <c r="AS460" s="278"/>
      <c r="AT460" s="278"/>
      <c r="AU460" s="278"/>
      <c r="AV460" s="278"/>
      <c r="AW460" s="278"/>
      <c r="AX460" s="278"/>
      <c r="AY460" s="278"/>
      <c r="AZ460" s="278"/>
      <c r="BA460" s="278"/>
      <c r="BB460" s="278"/>
      <c r="BC460" s="278"/>
      <c r="BD460" s="278"/>
      <c r="BE460" s="279"/>
    </row>
    <row r="461" spans="2:57" x14ac:dyDescent="0.25">
      <c r="B461" s="277"/>
      <c r="C461" s="278"/>
      <c r="D461" s="278"/>
      <c r="E461" s="278"/>
      <c r="F461" s="278"/>
      <c r="G461" s="278"/>
      <c r="H461" s="278"/>
      <c r="I461" s="278"/>
      <c r="J461" s="278"/>
      <c r="K461" s="278"/>
      <c r="L461" s="278"/>
      <c r="M461" s="278"/>
      <c r="N461" s="278"/>
      <c r="O461" s="278"/>
      <c r="P461" s="278"/>
      <c r="Q461" s="278"/>
      <c r="R461" s="278"/>
      <c r="S461" s="278"/>
      <c r="T461" s="278"/>
      <c r="U461" s="278"/>
      <c r="V461" s="278"/>
      <c r="W461" s="278"/>
      <c r="X461" s="278"/>
      <c r="Y461" s="278"/>
      <c r="Z461" s="278"/>
      <c r="AA461" s="278"/>
      <c r="AB461" s="278"/>
      <c r="AC461" s="278"/>
      <c r="AD461" s="278"/>
      <c r="AE461" s="278"/>
      <c r="AF461" s="278"/>
      <c r="AG461" s="278"/>
      <c r="AH461" s="278"/>
      <c r="AI461" s="278"/>
      <c r="AJ461" s="278"/>
      <c r="AK461" s="278"/>
      <c r="AL461" s="278"/>
      <c r="AM461" s="278"/>
      <c r="AN461" s="278"/>
      <c r="AO461" s="278"/>
      <c r="AP461" s="278"/>
      <c r="AQ461" s="278"/>
      <c r="AR461" s="278"/>
      <c r="AS461" s="278"/>
      <c r="AT461" s="278"/>
      <c r="AU461" s="278"/>
      <c r="AV461" s="278"/>
      <c r="AW461" s="278"/>
      <c r="AX461" s="278"/>
      <c r="AY461" s="278"/>
      <c r="AZ461" s="278"/>
      <c r="BA461" s="278"/>
      <c r="BB461" s="278"/>
      <c r="BC461" s="278"/>
      <c r="BD461" s="278"/>
      <c r="BE461" s="279"/>
    </row>
    <row r="462" spans="2:57" x14ac:dyDescent="0.25">
      <c r="B462" s="277"/>
      <c r="C462" s="395" t="s">
        <v>67</v>
      </c>
      <c r="D462" s="278"/>
      <c r="E462" s="278"/>
      <c r="F462" s="278"/>
      <c r="G462" s="278"/>
      <c r="H462" s="278"/>
      <c r="I462" s="278"/>
      <c r="J462" s="278"/>
      <c r="K462" s="278"/>
      <c r="L462" s="278"/>
      <c r="M462" s="278"/>
      <c r="N462" s="278"/>
      <c r="O462" s="278"/>
      <c r="P462" s="278"/>
      <c r="Q462" s="278"/>
      <c r="R462" s="278"/>
      <c r="S462" s="278"/>
      <c r="T462" s="278"/>
      <c r="U462" s="278"/>
      <c r="V462" s="278"/>
      <c r="W462" s="278"/>
      <c r="X462" s="278"/>
      <c r="Y462" s="278"/>
      <c r="Z462" s="278"/>
      <c r="AA462" s="278"/>
      <c r="AB462" s="278"/>
      <c r="AC462" s="278"/>
      <c r="AD462" s="278"/>
      <c r="AE462" s="278"/>
      <c r="AF462" s="278"/>
      <c r="AG462" s="278"/>
      <c r="AH462" s="278"/>
      <c r="AI462" s="278"/>
      <c r="AJ462" s="278"/>
      <c r="AK462" s="278"/>
      <c r="AL462" s="278"/>
      <c r="AM462" s="278"/>
      <c r="AN462" s="278"/>
      <c r="AO462" s="278"/>
      <c r="AP462" s="278"/>
      <c r="AQ462" s="278"/>
      <c r="AR462" s="278"/>
      <c r="AS462" s="278"/>
      <c r="AT462" s="278"/>
      <c r="AU462" s="278"/>
      <c r="AV462" s="278"/>
      <c r="AW462" s="278"/>
      <c r="AX462" s="278"/>
      <c r="AY462" s="278"/>
      <c r="AZ462" s="278"/>
      <c r="BA462" s="278"/>
      <c r="BB462" s="278"/>
      <c r="BC462" s="278"/>
      <c r="BD462" s="278"/>
      <c r="BE462" s="279"/>
    </row>
    <row r="463" spans="2:57" x14ac:dyDescent="0.25">
      <c r="B463" s="277"/>
      <c r="C463" s="278" t="s">
        <v>73</v>
      </c>
      <c r="D463" s="278"/>
      <c r="E463" s="278"/>
      <c r="F463" s="278"/>
      <c r="G463" s="288"/>
      <c r="H463" s="288">
        <f>IF(H$299&gt;$G459,0,IPMT($G460,H$299,$G459,-$G458))</f>
        <v>0</v>
      </c>
      <c r="I463" s="288">
        <f>IF(I$299&gt;$G459,0,IPMT($G460,I$299,$G459,-$G458))</f>
        <v>0</v>
      </c>
      <c r="J463" s="288">
        <f>IF(J$299&gt;$G459,0,IPMT($G460,J$299,$G459,-$G458))</f>
        <v>0</v>
      </c>
      <c r="K463" s="288">
        <f>IF(K$299&gt;$G459,0,IPMT($G460,K$299,$G459,-$G458))</f>
        <v>0</v>
      </c>
      <c r="L463" s="288">
        <f t="shared" ref="L463:BE463" si="157">IF(L$299&gt;$G459,0,IPMT($G460,L$299,$G459,-$G458))</f>
        <v>0</v>
      </c>
      <c r="M463" s="288">
        <f t="shared" si="157"/>
        <v>0</v>
      </c>
      <c r="N463" s="288">
        <f t="shared" si="157"/>
        <v>0</v>
      </c>
      <c r="O463" s="288">
        <f t="shared" si="157"/>
        <v>0</v>
      </c>
      <c r="P463" s="288">
        <f t="shared" si="157"/>
        <v>0</v>
      </c>
      <c r="Q463" s="288">
        <f t="shared" si="157"/>
        <v>0</v>
      </c>
      <c r="R463" s="288">
        <f t="shared" si="157"/>
        <v>0</v>
      </c>
      <c r="S463" s="288">
        <f t="shared" si="157"/>
        <v>0</v>
      </c>
      <c r="T463" s="288">
        <f t="shared" si="157"/>
        <v>0</v>
      </c>
      <c r="U463" s="288">
        <f t="shared" si="157"/>
        <v>0</v>
      </c>
      <c r="V463" s="288">
        <f t="shared" si="157"/>
        <v>0</v>
      </c>
      <c r="W463" s="288">
        <f t="shared" si="157"/>
        <v>0</v>
      </c>
      <c r="X463" s="288">
        <f t="shared" si="157"/>
        <v>0</v>
      </c>
      <c r="Y463" s="288">
        <f t="shared" si="157"/>
        <v>0</v>
      </c>
      <c r="Z463" s="288">
        <f t="shared" si="157"/>
        <v>0</v>
      </c>
      <c r="AA463" s="288">
        <f t="shared" si="157"/>
        <v>0</v>
      </c>
      <c r="AB463" s="288">
        <f t="shared" si="157"/>
        <v>0</v>
      </c>
      <c r="AC463" s="288">
        <f t="shared" si="157"/>
        <v>0</v>
      </c>
      <c r="AD463" s="288">
        <f t="shared" si="157"/>
        <v>0</v>
      </c>
      <c r="AE463" s="288">
        <f t="shared" si="157"/>
        <v>0</v>
      </c>
      <c r="AF463" s="288">
        <f t="shared" si="157"/>
        <v>0</v>
      </c>
      <c r="AG463" s="288">
        <f t="shared" si="157"/>
        <v>0</v>
      </c>
      <c r="AH463" s="288">
        <f t="shared" si="157"/>
        <v>0</v>
      </c>
      <c r="AI463" s="288">
        <f t="shared" si="157"/>
        <v>0</v>
      </c>
      <c r="AJ463" s="288">
        <f t="shared" si="157"/>
        <v>0</v>
      </c>
      <c r="AK463" s="288">
        <f t="shared" si="157"/>
        <v>0</v>
      </c>
      <c r="AL463" s="288">
        <f t="shared" si="157"/>
        <v>0</v>
      </c>
      <c r="AM463" s="288">
        <f t="shared" si="157"/>
        <v>0</v>
      </c>
      <c r="AN463" s="288">
        <f t="shared" si="157"/>
        <v>0</v>
      </c>
      <c r="AO463" s="288">
        <f t="shared" si="157"/>
        <v>0</v>
      </c>
      <c r="AP463" s="288">
        <f t="shared" si="157"/>
        <v>0</v>
      </c>
      <c r="AQ463" s="288">
        <f t="shared" si="157"/>
        <v>0</v>
      </c>
      <c r="AR463" s="288">
        <f t="shared" si="157"/>
        <v>0</v>
      </c>
      <c r="AS463" s="288">
        <f t="shared" si="157"/>
        <v>0</v>
      </c>
      <c r="AT463" s="288">
        <f t="shared" si="157"/>
        <v>0</v>
      </c>
      <c r="AU463" s="288">
        <f t="shared" si="157"/>
        <v>0</v>
      </c>
      <c r="AV463" s="288">
        <f t="shared" si="157"/>
        <v>0</v>
      </c>
      <c r="AW463" s="288">
        <f t="shared" si="157"/>
        <v>0</v>
      </c>
      <c r="AX463" s="288">
        <f t="shared" si="157"/>
        <v>0</v>
      </c>
      <c r="AY463" s="288">
        <f t="shared" si="157"/>
        <v>0</v>
      </c>
      <c r="AZ463" s="288">
        <f t="shared" si="157"/>
        <v>0</v>
      </c>
      <c r="BA463" s="288">
        <f t="shared" si="157"/>
        <v>0</v>
      </c>
      <c r="BB463" s="288">
        <f t="shared" si="157"/>
        <v>0</v>
      </c>
      <c r="BC463" s="288">
        <f t="shared" si="157"/>
        <v>0</v>
      </c>
      <c r="BD463" s="288">
        <f t="shared" si="157"/>
        <v>0</v>
      </c>
      <c r="BE463" s="1305">
        <f t="shared" si="157"/>
        <v>0</v>
      </c>
    </row>
    <row r="464" spans="2:57" x14ac:dyDescent="0.25">
      <c r="B464" s="277"/>
      <c r="C464" s="285" t="s">
        <v>72</v>
      </c>
      <c r="D464" s="285"/>
      <c r="E464" s="285"/>
      <c r="F464" s="285"/>
      <c r="G464" s="1306"/>
      <c r="H464" s="1306">
        <f>IF(H$299&gt;$G459,0,PPMT($G460,H$299,$G459,-$G458))</f>
        <v>0</v>
      </c>
      <c r="I464" s="1306">
        <f>IF(I$299&gt;$G459,0,PPMT($G460,I$299,$G459,-$G458))</f>
        <v>0</v>
      </c>
      <c r="J464" s="1306">
        <f>IF(J$299&gt;$G459,0,PPMT($G460,J$299,$G459,-$G458))</f>
        <v>0</v>
      </c>
      <c r="K464" s="1306">
        <f>IF(K$299&gt;$G459,0,PPMT($G460,K$299,$G459,-$G458))</f>
        <v>0</v>
      </c>
      <c r="L464" s="1306">
        <f t="shared" ref="L464:BE464" si="158">IF(L$299&gt;$G459,0,PPMT($G460,L$299,$G459,-$G458))</f>
        <v>0</v>
      </c>
      <c r="M464" s="1306">
        <f t="shared" si="158"/>
        <v>0</v>
      </c>
      <c r="N464" s="1306">
        <f t="shared" si="158"/>
        <v>0</v>
      </c>
      <c r="O464" s="1306">
        <f t="shared" si="158"/>
        <v>0</v>
      </c>
      <c r="P464" s="1306">
        <f t="shared" si="158"/>
        <v>0</v>
      </c>
      <c r="Q464" s="1306">
        <f t="shared" si="158"/>
        <v>0</v>
      </c>
      <c r="R464" s="1306">
        <f t="shared" si="158"/>
        <v>0</v>
      </c>
      <c r="S464" s="1306">
        <f t="shared" si="158"/>
        <v>0</v>
      </c>
      <c r="T464" s="1306">
        <f t="shared" si="158"/>
        <v>0</v>
      </c>
      <c r="U464" s="1306">
        <f t="shared" si="158"/>
        <v>0</v>
      </c>
      <c r="V464" s="1306">
        <f t="shared" si="158"/>
        <v>0</v>
      </c>
      <c r="W464" s="1306">
        <f t="shared" si="158"/>
        <v>0</v>
      </c>
      <c r="X464" s="1306">
        <f t="shared" si="158"/>
        <v>0</v>
      </c>
      <c r="Y464" s="1306">
        <f t="shared" si="158"/>
        <v>0</v>
      </c>
      <c r="Z464" s="1306">
        <f t="shared" si="158"/>
        <v>0</v>
      </c>
      <c r="AA464" s="1306">
        <f t="shared" si="158"/>
        <v>0</v>
      </c>
      <c r="AB464" s="1306">
        <f t="shared" si="158"/>
        <v>0</v>
      </c>
      <c r="AC464" s="1306">
        <f t="shared" si="158"/>
        <v>0</v>
      </c>
      <c r="AD464" s="1306">
        <f t="shared" si="158"/>
        <v>0</v>
      </c>
      <c r="AE464" s="1306">
        <f t="shared" si="158"/>
        <v>0</v>
      </c>
      <c r="AF464" s="1306">
        <f t="shared" si="158"/>
        <v>0</v>
      </c>
      <c r="AG464" s="1306">
        <f t="shared" si="158"/>
        <v>0</v>
      </c>
      <c r="AH464" s="1306">
        <f t="shared" si="158"/>
        <v>0</v>
      </c>
      <c r="AI464" s="1306">
        <f t="shared" si="158"/>
        <v>0</v>
      </c>
      <c r="AJ464" s="1306">
        <f t="shared" si="158"/>
        <v>0</v>
      </c>
      <c r="AK464" s="1306">
        <f t="shared" si="158"/>
        <v>0</v>
      </c>
      <c r="AL464" s="1306">
        <f t="shared" si="158"/>
        <v>0</v>
      </c>
      <c r="AM464" s="1306">
        <f t="shared" si="158"/>
        <v>0</v>
      </c>
      <c r="AN464" s="1306">
        <f t="shared" si="158"/>
        <v>0</v>
      </c>
      <c r="AO464" s="1306">
        <f t="shared" si="158"/>
        <v>0</v>
      </c>
      <c r="AP464" s="1306">
        <f t="shared" si="158"/>
        <v>0</v>
      </c>
      <c r="AQ464" s="1306">
        <f t="shared" si="158"/>
        <v>0</v>
      </c>
      <c r="AR464" s="1306">
        <f t="shared" si="158"/>
        <v>0</v>
      </c>
      <c r="AS464" s="1306">
        <f t="shared" si="158"/>
        <v>0</v>
      </c>
      <c r="AT464" s="1306">
        <f t="shared" si="158"/>
        <v>0</v>
      </c>
      <c r="AU464" s="1306">
        <f t="shared" si="158"/>
        <v>0</v>
      </c>
      <c r="AV464" s="1306">
        <f t="shared" si="158"/>
        <v>0</v>
      </c>
      <c r="AW464" s="1306">
        <f t="shared" si="158"/>
        <v>0</v>
      </c>
      <c r="AX464" s="1306">
        <f t="shared" si="158"/>
        <v>0</v>
      </c>
      <c r="AY464" s="1306">
        <f t="shared" si="158"/>
        <v>0</v>
      </c>
      <c r="AZ464" s="1306">
        <f t="shared" si="158"/>
        <v>0</v>
      </c>
      <c r="BA464" s="1306">
        <f t="shared" si="158"/>
        <v>0</v>
      </c>
      <c r="BB464" s="1306">
        <f t="shared" si="158"/>
        <v>0</v>
      </c>
      <c r="BC464" s="1306">
        <f t="shared" si="158"/>
        <v>0</v>
      </c>
      <c r="BD464" s="1306">
        <f t="shared" si="158"/>
        <v>0</v>
      </c>
      <c r="BE464" s="1307">
        <f t="shared" si="158"/>
        <v>0</v>
      </c>
    </row>
    <row r="465" spans="2:57" x14ac:dyDescent="0.25">
      <c r="B465" s="277"/>
      <c r="C465" s="278" t="s">
        <v>74</v>
      </c>
      <c r="D465" s="278"/>
      <c r="E465" s="278"/>
      <c r="F465" s="278"/>
      <c r="G465" s="288"/>
      <c r="H465" s="288">
        <f>SUM(H463:H464)</f>
        <v>0</v>
      </c>
      <c r="I465" s="288">
        <f t="shared" ref="I465:BE465" si="159">SUM(I463:I464)</f>
        <v>0</v>
      </c>
      <c r="J465" s="288">
        <f t="shared" si="159"/>
        <v>0</v>
      </c>
      <c r="K465" s="288">
        <f t="shared" si="159"/>
        <v>0</v>
      </c>
      <c r="L465" s="288">
        <f t="shared" si="159"/>
        <v>0</v>
      </c>
      <c r="M465" s="288">
        <f t="shared" si="159"/>
        <v>0</v>
      </c>
      <c r="N465" s="288">
        <f t="shared" si="159"/>
        <v>0</v>
      </c>
      <c r="O465" s="288">
        <f t="shared" si="159"/>
        <v>0</v>
      </c>
      <c r="P465" s="288">
        <f t="shared" si="159"/>
        <v>0</v>
      </c>
      <c r="Q465" s="288">
        <f t="shared" si="159"/>
        <v>0</v>
      </c>
      <c r="R465" s="288">
        <f t="shared" si="159"/>
        <v>0</v>
      </c>
      <c r="S465" s="288">
        <f t="shared" si="159"/>
        <v>0</v>
      </c>
      <c r="T465" s="288">
        <f t="shared" si="159"/>
        <v>0</v>
      </c>
      <c r="U465" s="288">
        <f t="shared" si="159"/>
        <v>0</v>
      </c>
      <c r="V465" s="288">
        <f t="shared" si="159"/>
        <v>0</v>
      </c>
      <c r="W465" s="288">
        <f t="shared" si="159"/>
        <v>0</v>
      </c>
      <c r="X465" s="288">
        <f t="shared" si="159"/>
        <v>0</v>
      </c>
      <c r="Y465" s="288">
        <f t="shared" si="159"/>
        <v>0</v>
      </c>
      <c r="Z465" s="288">
        <f t="shared" si="159"/>
        <v>0</v>
      </c>
      <c r="AA465" s="288">
        <f t="shared" si="159"/>
        <v>0</v>
      </c>
      <c r="AB465" s="288">
        <f t="shared" si="159"/>
        <v>0</v>
      </c>
      <c r="AC465" s="288">
        <f t="shared" si="159"/>
        <v>0</v>
      </c>
      <c r="AD465" s="288">
        <f t="shared" si="159"/>
        <v>0</v>
      </c>
      <c r="AE465" s="288">
        <f t="shared" si="159"/>
        <v>0</v>
      </c>
      <c r="AF465" s="288">
        <f t="shared" si="159"/>
        <v>0</v>
      </c>
      <c r="AG465" s="288">
        <f t="shared" si="159"/>
        <v>0</v>
      </c>
      <c r="AH465" s="288">
        <f t="shared" si="159"/>
        <v>0</v>
      </c>
      <c r="AI465" s="288">
        <f t="shared" si="159"/>
        <v>0</v>
      </c>
      <c r="AJ465" s="288">
        <f t="shared" si="159"/>
        <v>0</v>
      </c>
      <c r="AK465" s="288">
        <f t="shared" si="159"/>
        <v>0</v>
      </c>
      <c r="AL465" s="288">
        <f t="shared" si="159"/>
        <v>0</v>
      </c>
      <c r="AM465" s="288">
        <f t="shared" si="159"/>
        <v>0</v>
      </c>
      <c r="AN465" s="288">
        <f t="shared" si="159"/>
        <v>0</v>
      </c>
      <c r="AO465" s="288">
        <f t="shared" si="159"/>
        <v>0</v>
      </c>
      <c r="AP465" s="288">
        <f t="shared" si="159"/>
        <v>0</v>
      </c>
      <c r="AQ465" s="288">
        <f t="shared" si="159"/>
        <v>0</v>
      </c>
      <c r="AR465" s="288">
        <f t="shared" si="159"/>
        <v>0</v>
      </c>
      <c r="AS465" s="288">
        <f t="shared" si="159"/>
        <v>0</v>
      </c>
      <c r="AT465" s="288">
        <f t="shared" si="159"/>
        <v>0</v>
      </c>
      <c r="AU465" s="288">
        <f t="shared" si="159"/>
        <v>0</v>
      </c>
      <c r="AV465" s="288">
        <f t="shared" si="159"/>
        <v>0</v>
      </c>
      <c r="AW465" s="288">
        <f t="shared" si="159"/>
        <v>0</v>
      </c>
      <c r="AX465" s="288">
        <f t="shared" si="159"/>
        <v>0</v>
      </c>
      <c r="AY465" s="288">
        <f t="shared" si="159"/>
        <v>0</v>
      </c>
      <c r="AZ465" s="288">
        <f t="shared" si="159"/>
        <v>0</v>
      </c>
      <c r="BA465" s="288">
        <f t="shared" si="159"/>
        <v>0</v>
      </c>
      <c r="BB465" s="288">
        <f t="shared" si="159"/>
        <v>0</v>
      </c>
      <c r="BC465" s="288">
        <f t="shared" si="159"/>
        <v>0</v>
      </c>
      <c r="BD465" s="288">
        <f t="shared" si="159"/>
        <v>0</v>
      </c>
      <c r="BE465" s="1305">
        <f t="shared" si="159"/>
        <v>0</v>
      </c>
    </row>
    <row r="466" spans="2:57" x14ac:dyDescent="0.25">
      <c r="B466" s="277"/>
      <c r="C466" s="278"/>
      <c r="D466" s="278"/>
      <c r="E466" s="278"/>
      <c r="F466" s="27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288"/>
      <c r="AF466" s="288"/>
      <c r="AG466" s="288"/>
      <c r="AH466" s="288"/>
      <c r="AI466" s="288"/>
      <c r="AJ466" s="288"/>
      <c r="AK466" s="288"/>
      <c r="AL466" s="288"/>
      <c r="AM466" s="288"/>
      <c r="AN466" s="288"/>
      <c r="AO466" s="288"/>
      <c r="AP466" s="288"/>
      <c r="AQ466" s="288"/>
      <c r="AR466" s="288"/>
      <c r="AS466" s="288"/>
      <c r="AT466" s="288"/>
      <c r="AU466" s="288"/>
      <c r="AV466" s="288"/>
      <c r="AW466" s="288"/>
      <c r="AX466" s="288"/>
      <c r="AY466" s="288"/>
      <c r="AZ466" s="288"/>
      <c r="BA466" s="288"/>
      <c r="BB466" s="288"/>
      <c r="BC466" s="288"/>
      <c r="BD466" s="288"/>
      <c r="BE466" s="1305"/>
    </row>
    <row r="467" spans="2:57" x14ac:dyDescent="0.25">
      <c r="B467" s="277"/>
      <c r="C467" s="396" t="s">
        <v>65</v>
      </c>
      <c r="D467" s="278"/>
      <c r="E467" s="278"/>
      <c r="F467" s="278"/>
      <c r="G467" s="288"/>
      <c r="H467" s="288"/>
      <c r="I467" s="288"/>
      <c r="J467" s="288"/>
      <c r="K467" s="288"/>
      <c r="L467" s="288"/>
      <c r="M467" s="288"/>
      <c r="N467" s="288"/>
      <c r="O467" s="288"/>
      <c r="P467" s="288"/>
      <c r="Q467" s="288"/>
      <c r="R467" s="288"/>
      <c r="S467" s="288"/>
      <c r="T467" s="288"/>
      <c r="U467" s="288"/>
      <c r="V467" s="288"/>
      <c r="W467" s="288"/>
      <c r="X467" s="288"/>
      <c r="Y467" s="288"/>
      <c r="Z467" s="288"/>
      <c r="AA467" s="288"/>
      <c r="AB467" s="288"/>
      <c r="AC467" s="288"/>
      <c r="AD467" s="288"/>
      <c r="AE467" s="288"/>
      <c r="AF467" s="288"/>
      <c r="AG467" s="288"/>
      <c r="AH467" s="288"/>
      <c r="AI467" s="288"/>
      <c r="AJ467" s="288"/>
      <c r="AK467" s="288"/>
      <c r="AL467" s="288"/>
      <c r="AM467" s="288"/>
      <c r="AN467" s="288"/>
      <c r="AO467" s="288"/>
      <c r="AP467" s="288"/>
      <c r="AQ467" s="288"/>
      <c r="AR467" s="288"/>
      <c r="AS467" s="288"/>
      <c r="AT467" s="288"/>
      <c r="AU467" s="288"/>
      <c r="AV467" s="288"/>
      <c r="AW467" s="288"/>
      <c r="AX467" s="288"/>
      <c r="AY467" s="288"/>
      <c r="AZ467" s="288"/>
      <c r="BA467" s="288"/>
      <c r="BB467" s="288"/>
      <c r="BC467" s="288"/>
      <c r="BD467" s="288"/>
      <c r="BE467" s="1305"/>
    </row>
    <row r="468" spans="2:57" x14ac:dyDescent="0.25">
      <c r="B468" s="277"/>
      <c r="C468" s="278" t="s">
        <v>75</v>
      </c>
      <c r="D468" s="278"/>
      <c r="E468" s="278"/>
      <c r="F468" s="278"/>
      <c r="G468" s="288">
        <v>0</v>
      </c>
      <c r="H468" s="288">
        <f t="shared" ref="H468:AM468" si="160">G471</f>
        <v>0</v>
      </c>
      <c r="I468" s="288">
        <f t="shared" si="160"/>
        <v>0</v>
      </c>
      <c r="J468" s="288">
        <f t="shared" si="160"/>
        <v>0</v>
      </c>
      <c r="K468" s="288">
        <f t="shared" si="160"/>
        <v>0</v>
      </c>
      <c r="L468" s="288">
        <f t="shared" si="160"/>
        <v>0</v>
      </c>
      <c r="M468" s="288">
        <f t="shared" si="160"/>
        <v>0</v>
      </c>
      <c r="N468" s="288">
        <f t="shared" si="160"/>
        <v>0</v>
      </c>
      <c r="O468" s="288">
        <f t="shared" si="160"/>
        <v>0</v>
      </c>
      <c r="P468" s="288">
        <f t="shared" si="160"/>
        <v>0</v>
      </c>
      <c r="Q468" s="288">
        <f t="shared" si="160"/>
        <v>0</v>
      </c>
      <c r="R468" s="288">
        <f t="shared" si="160"/>
        <v>0</v>
      </c>
      <c r="S468" s="288">
        <f t="shared" si="160"/>
        <v>0</v>
      </c>
      <c r="T468" s="288">
        <f t="shared" si="160"/>
        <v>0</v>
      </c>
      <c r="U468" s="288">
        <f t="shared" si="160"/>
        <v>0</v>
      </c>
      <c r="V468" s="288">
        <f t="shared" si="160"/>
        <v>0</v>
      </c>
      <c r="W468" s="288">
        <f t="shared" si="160"/>
        <v>0</v>
      </c>
      <c r="X468" s="288">
        <f t="shared" si="160"/>
        <v>0</v>
      </c>
      <c r="Y468" s="288">
        <f t="shared" si="160"/>
        <v>0</v>
      </c>
      <c r="Z468" s="288">
        <f t="shared" si="160"/>
        <v>0</v>
      </c>
      <c r="AA468" s="288">
        <f t="shared" si="160"/>
        <v>0</v>
      </c>
      <c r="AB468" s="288">
        <f t="shared" si="160"/>
        <v>0</v>
      </c>
      <c r="AC468" s="288">
        <f t="shared" si="160"/>
        <v>0</v>
      </c>
      <c r="AD468" s="288">
        <f t="shared" si="160"/>
        <v>0</v>
      </c>
      <c r="AE468" s="288">
        <f t="shared" si="160"/>
        <v>0</v>
      </c>
      <c r="AF468" s="288">
        <f t="shared" si="160"/>
        <v>0</v>
      </c>
      <c r="AG468" s="288">
        <f t="shared" si="160"/>
        <v>0</v>
      </c>
      <c r="AH468" s="288">
        <f t="shared" si="160"/>
        <v>0</v>
      </c>
      <c r="AI468" s="288">
        <f t="shared" si="160"/>
        <v>0</v>
      </c>
      <c r="AJ468" s="288">
        <f t="shared" si="160"/>
        <v>0</v>
      </c>
      <c r="AK468" s="288">
        <f t="shared" si="160"/>
        <v>0</v>
      </c>
      <c r="AL468" s="288">
        <f t="shared" si="160"/>
        <v>0</v>
      </c>
      <c r="AM468" s="288">
        <f t="shared" si="160"/>
        <v>0</v>
      </c>
      <c r="AN468" s="288">
        <f t="shared" ref="AN468:BE468" si="161">AM471</f>
        <v>0</v>
      </c>
      <c r="AO468" s="288">
        <f t="shared" si="161"/>
        <v>0</v>
      </c>
      <c r="AP468" s="288">
        <f t="shared" si="161"/>
        <v>0</v>
      </c>
      <c r="AQ468" s="288">
        <f t="shared" si="161"/>
        <v>0</v>
      </c>
      <c r="AR468" s="288">
        <f t="shared" si="161"/>
        <v>0</v>
      </c>
      <c r="AS468" s="288">
        <f t="shared" si="161"/>
        <v>0</v>
      </c>
      <c r="AT468" s="288">
        <f t="shared" si="161"/>
        <v>0</v>
      </c>
      <c r="AU468" s="288">
        <f t="shared" si="161"/>
        <v>0</v>
      </c>
      <c r="AV468" s="288">
        <f t="shared" si="161"/>
        <v>0</v>
      </c>
      <c r="AW468" s="288">
        <f t="shared" si="161"/>
        <v>0</v>
      </c>
      <c r="AX468" s="288">
        <f t="shared" si="161"/>
        <v>0</v>
      </c>
      <c r="AY468" s="288">
        <f t="shared" si="161"/>
        <v>0</v>
      </c>
      <c r="AZ468" s="288">
        <f t="shared" si="161"/>
        <v>0</v>
      </c>
      <c r="BA468" s="288">
        <f t="shared" si="161"/>
        <v>0</v>
      </c>
      <c r="BB468" s="288">
        <f t="shared" si="161"/>
        <v>0</v>
      </c>
      <c r="BC468" s="288">
        <f t="shared" si="161"/>
        <v>0</v>
      </c>
      <c r="BD468" s="288">
        <f t="shared" si="161"/>
        <v>0</v>
      </c>
      <c r="BE468" s="1305">
        <f t="shared" si="161"/>
        <v>0</v>
      </c>
    </row>
    <row r="469" spans="2:57" x14ac:dyDescent="0.25">
      <c r="B469" s="277"/>
      <c r="C469" s="278" t="s">
        <v>76</v>
      </c>
      <c r="D469" s="278"/>
      <c r="E469" s="278"/>
      <c r="F469" s="278"/>
      <c r="G469" s="288">
        <f>G458</f>
        <v>0</v>
      </c>
      <c r="H469" s="288">
        <v>0</v>
      </c>
      <c r="I469" s="288">
        <v>0</v>
      </c>
      <c r="J469" s="288">
        <v>0</v>
      </c>
      <c r="K469" s="288">
        <v>0</v>
      </c>
      <c r="L469" s="288">
        <v>0</v>
      </c>
      <c r="M469" s="288">
        <v>0</v>
      </c>
      <c r="N469" s="288">
        <v>0</v>
      </c>
      <c r="O469" s="288">
        <v>0</v>
      </c>
      <c r="P469" s="288">
        <v>0</v>
      </c>
      <c r="Q469" s="288">
        <v>0</v>
      </c>
      <c r="R469" s="288">
        <v>0</v>
      </c>
      <c r="S469" s="288">
        <v>0</v>
      </c>
      <c r="T469" s="288">
        <v>0</v>
      </c>
      <c r="U469" s="288">
        <v>0</v>
      </c>
      <c r="V469" s="288">
        <v>0</v>
      </c>
      <c r="W469" s="288">
        <v>0</v>
      </c>
      <c r="X469" s="288">
        <v>0</v>
      </c>
      <c r="Y469" s="288">
        <v>0</v>
      </c>
      <c r="Z469" s="288">
        <v>0</v>
      </c>
      <c r="AA469" s="288">
        <v>0</v>
      </c>
      <c r="AB469" s="288">
        <v>0</v>
      </c>
      <c r="AC469" s="288">
        <v>0</v>
      </c>
      <c r="AD469" s="288">
        <v>0</v>
      </c>
      <c r="AE469" s="288">
        <v>0</v>
      </c>
      <c r="AF469" s="288">
        <v>0</v>
      </c>
      <c r="AG469" s="288">
        <v>0</v>
      </c>
      <c r="AH469" s="288">
        <v>0</v>
      </c>
      <c r="AI469" s="288">
        <v>0</v>
      </c>
      <c r="AJ469" s="288">
        <v>0</v>
      </c>
      <c r="AK469" s="288">
        <v>0</v>
      </c>
      <c r="AL469" s="288">
        <v>0</v>
      </c>
      <c r="AM469" s="288">
        <v>0</v>
      </c>
      <c r="AN469" s="288">
        <v>0</v>
      </c>
      <c r="AO469" s="288">
        <v>0</v>
      </c>
      <c r="AP469" s="288">
        <v>0</v>
      </c>
      <c r="AQ469" s="288">
        <v>0</v>
      </c>
      <c r="AR469" s="288">
        <v>0</v>
      </c>
      <c r="AS469" s="288">
        <v>0</v>
      </c>
      <c r="AT469" s="288">
        <v>0</v>
      </c>
      <c r="AU469" s="288">
        <v>0</v>
      </c>
      <c r="AV469" s="288">
        <v>0</v>
      </c>
      <c r="AW469" s="288">
        <v>0</v>
      </c>
      <c r="AX469" s="288">
        <v>0</v>
      </c>
      <c r="AY469" s="288">
        <v>0</v>
      </c>
      <c r="AZ469" s="288">
        <v>0</v>
      </c>
      <c r="BA469" s="288">
        <v>0</v>
      </c>
      <c r="BB469" s="288">
        <v>0</v>
      </c>
      <c r="BC469" s="288">
        <v>0</v>
      </c>
      <c r="BD469" s="288">
        <v>0</v>
      </c>
      <c r="BE469" s="1305">
        <v>0</v>
      </c>
    </row>
    <row r="470" spans="2:57" x14ac:dyDescent="0.25">
      <c r="B470" s="277"/>
      <c r="C470" s="285" t="s">
        <v>77</v>
      </c>
      <c r="D470" s="285"/>
      <c r="E470" s="285"/>
      <c r="F470" s="285"/>
      <c r="G470" s="1306">
        <v>0</v>
      </c>
      <c r="H470" s="1306">
        <f t="shared" ref="H470:BE470" si="162">-H464</f>
        <v>0</v>
      </c>
      <c r="I470" s="1306">
        <f t="shared" si="162"/>
        <v>0</v>
      </c>
      <c r="J470" s="1306">
        <f t="shared" si="162"/>
        <v>0</v>
      </c>
      <c r="K470" s="1306">
        <f t="shared" si="162"/>
        <v>0</v>
      </c>
      <c r="L470" s="1306">
        <f t="shared" si="162"/>
        <v>0</v>
      </c>
      <c r="M470" s="1306">
        <f t="shared" si="162"/>
        <v>0</v>
      </c>
      <c r="N470" s="1306">
        <f t="shared" si="162"/>
        <v>0</v>
      </c>
      <c r="O470" s="1306">
        <f t="shared" si="162"/>
        <v>0</v>
      </c>
      <c r="P470" s="1306">
        <f t="shared" si="162"/>
        <v>0</v>
      </c>
      <c r="Q470" s="1306">
        <f t="shared" si="162"/>
        <v>0</v>
      </c>
      <c r="R470" s="1306">
        <f t="shared" si="162"/>
        <v>0</v>
      </c>
      <c r="S470" s="1306">
        <f t="shared" si="162"/>
        <v>0</v>
      </c>
      <c r="T470" s="1306">
        <f t="shared" si="162"/>
        <v>0</v>
      </c>
      <c r="U470" s="1306">
        <f t="shared" si="162"/>
        <v>0</v>
      </c>
      <c r="V470" s="1306">
        <f t="shared" si="162"/>
        <v>0</v>
      </c>
      <c r="W470" s="1306">
        <f t="shared" si="162"/>
        <v>0</v>
      </c>
      <c r="X470" s="1306">
        <f t="shared" si="162"/>
        <v>0</v>
      </c>
      <c r="Y470" s="1306">
        <f t="shared" si="162"/>
        <v>0</v>
      </c>
      <c r="Z470" s="1306">
        <f t="shared" si="162"/>
        <v>0</v>
      </c>
      <c r="AA470" s="1306">
        <f t="shared" si="162"/>
        <v>0</v>
      </c>
      <c r="AB470" s="1306">
        <f t="shared" si="162"/>
        <v>0</v>
      </c>
      <c r="AC470" s="1306">
        <f t="shared" si="162"/>
        <v>0</v>
      </c>
      <c r="AD470" s="1306">
        <f t="shared" si="162"/>
        <v>0</v>
      </c>
      <c r="AE470" s="1306">
        <f t="shared" si="162"/>
        <v>0</v>
      </c>
      <c r="AF470" s="1306">
        <f t="shared" si="162"/>
        <v>0</v>
      </c>
      <c r="AG470" s="1306">
        <f t="shared" si="162"/>
        <v>0</v>
      </c>
      <c r="AH470" s="1306">
        <f t="shared" si="162"/>
        <v>0</v>
      </c>
      <c r="AI470" s="1306">
        <f t="shared" si="162"/>
        <v>0</v>
      </c>
      <c r="AJ470" s="1306">
        <f t="shared" si="162"/>
        <v>0</v>
      </c>
      <c r="AK470" s="1306">
        <f t="shared" si="162"/>
        <v>0</v>
      </c>
      <c r="AL470" s="1306">
        <f t="shared" si="162"/>
        <v>0</v>
      </c>
      <c r="AM470" s="1306">
        <f t="shared" si="162"/>
        <v>0</v>
      </c>
      <c r="AN470" s="1306">
        <f t="shared" si="162"/>
        <v>0</v>
      </c>
      <c r="AO470" s="1306">
        <f t="shared" si="162"/>
        <v>0</v>
      </c>
      <c r="AP470" s="1306">
        <f t="shared" si="162"/>
        <v>0</v>
      </c>
      <c r="AQ470" s="1306">
        <f t="shared" si="162"/>
        <v>0</v>
      </c>
      <c r="AR470" s="1306">
        <f t="shared" si="162"/>
        <v>0</v>
      </c>
      <c r="AS470" s="1306">
        <f t="shared" si="162"/>
        <v>0</v>
      </c>
      <c r="AT470" s="1306">
        <f t="shared" si="162"/>
        <v>0</v>
      </c>
      <c r="AU470" s="1306">
        <f t="shared" si="162"/>
        <v>0</v>
      </c>
      <c r="AV470" s="1306">
        <f t="shared" si="162"/>
        <v>0</v>
      </c>
      <c r="AW470" s="1306">
        <f t="shared" si="162"/>
        <v>0</v>
      </c>
      <c r="AX470" s="1306">
        <f t="shared" si="162"/>
        <v>0</v>
      </c>
      <c r="AY470" s="1306">
        <f t="shared" si="162"/>
        <v>0</v>
      </c>
      <c r="AZ470" s="1306">
        <f t="shared" si="162"/>
        <v>0</v>
      </c>
      <c r="BA470" s="1306">
        <f t="shared" si="162"/>
        <v>0</v>
      </c>
      <c r="BB470" s="1306">
        <f t="shared" si="162"/>
        <v>0</v>
      </c>
      <c r="BC470" s="1306">
        <f t="shared" si="162"/>
        <v>0</v>
      </c>
      <c r="BD470" s="1306">
        <f t="shared" si="162"/>
        <v>0</v>
      </c>
      <c r="BE470" s="1307">
        <f t="shared" si="162"/>
        <v>0</v>
      </c>
    </row>
    <row r="471" spans="2:57" x14ac:dyDescent="0.25">
      <c r="B471" s="277"/>
      <c r="C471" s="278" t="s">
        <v>66</v>
      </c>
      <c r="D471" s="278"/>
      <c r="E471" s="278"/>
      <c r="F471" s="278"/>
      <c r="G471" s="288">
        <f t="shared" ref="G471:BE471" si="163">SUM(G468:G470)</f>
        <v>0</v>
      </c>
      <c r="H471" s="288">
        <f t="shared" si="163"/>
        <v>0</v>
      </c>
      <c r="I471" s="288">
        <f t="shared" si="163"/>
        <v>0</v>
      </c>
      <c r="J471" s="288">
        <f t="shared" si="163"/>
        <v>0</v>
      </c>
      <c r="K471" s="288">
        <f t="shared" si="163"/>
        <v>0</v>
      </c>
      <c r="L471" s="288">
        <f t="shared" si="163"/>
        <v>0</v>
      </c>
      <c r="M471" s="288">
        <f t="shared" si="163"/>
        <v>0</v>
      </c>
      <c r="N471" s="288">
        <f t="shared" si="163"/>
        <v>0</v>
      </c>
      <c r="O471" s="288">
        <f t="shared" si="163"/>
        <v>0</v>
      </c>
      <c r="P471" s="288">
        <f t="shared" si="163"/>
        <v>0</v>
      </c>
      <c r="Q471" s="288">
        <f t="shared" si="163"/>
        <v>0</v>
      </c>
      <c r="R471" s="288">
        <f t="shared" si="163"/>
        <v>0</v>
      </c>
      <c r="S471" s="288">
        <f t="shared" si="163"/>
        <v>0</v>
      </c>
      <c r="T471" s="288">
        <f t="shared" si="163"/>
        <v>0</v>
      </c>
      <c r="U471" s="288">
        <f t="shared" si="163"/>
        <v>0</v>
      </c>
      <c r="V471" s="288">
        <f t="shared" si="163"/>
        <v>0</v>
      </c>
      <c r="W471" s="288">
        <f t="shared" si="163"/>
        <v>0</v>
      </c>
      <c r="X471" s="288">
        <f t="shared" si="163"/>
        <v>0</v>
      </c>
      <c r="Y471" s="288">
        <f t="shared" si="163"/>
        <v>0</v>
      </c>
      <c r="Z471" s="288">
        <f t="shared" si="163"/>
        <v>0</v>
      </c>
      <c r="AA471" s="288">
        <f t="shared" si="163"/>
        <v>0</v>
      </c>
      <c r="AB471" s="288">
        <f t="shared" si="163"/>
        <v>0</v>
      </c>
      <c r="AC471" s="288">
        <f t="shared" si="163"/>
        <v>0</v>
      </c>
      <c r="AD471" s="288">
        <f t="shared" si="163"/>
        <v>0</v>
      </c>
      <c r="AE471" s="288">
        <f t="shared" si="163"/>
        <v>0</v>
      </c>
      <c r="AF471" s="288">
        <f t="shared" si="163"/>
        <v>0</v>
      </c>
      <c r="AG471" s="288">
        <f t="shared" si="163"/>
        <v>0</v>
      </c>
      <c r="AH471" s="288">
        <f t="shared" si="163"/>
        <v>0</v>
      </c>
      <c r="AI471" s="288">
        <f t="shared" si="163"/>
        <v>0</v>
      </c>
      <c r="AJ471" s="288">
        <f t="shared" si="163"/>
        <v>0</v>
      </c>
      <c r="AK471" s="288">
        <f t="shared" si="163"/>
        <v>0</v>
      </c>
      <c r="AL471" s="288">
        <f t="shared" si="163"/>
        <v>0</v>
      </c>
      <c r="AM471" s="288">
        <f t="shared" si="163"/>
        <v>0</v>
      </c>
      <c r="AN471" s="288">
        <f t="shared" si="163"/>
        <v>0</v>
      </c>
      <c r="AO471" s="288">
        <f t="shared" si="163"/>
        <v>0</v>
      </c>
      <c r="AP471" s="288">
        <f t="shared" si="163"/>
        <v>0</v>
      </c>
      <c r="AQ471" s="288">
        <f t="shared" si="163"/>
        <v>0</v>
      </c>
      <c r="AR471" s="288">
        <f t="shared" si="163"/>
        <v>0</v>
      </c>
      <c r="AS471" s="288">
        <f t="shared" si="163"/>
        <v>0</v>
      </c>
      <c r="AT471" s="288">
        <f t="shared" si="163"/>
        <v>0</v>
      </c>
      <c r="AU471" s="288">
        <f t="shared" si="163"/>
        <v>0</v>
      </c>
      <c r="AV471" s="288">
        <f t="shared" si="163"/>
        <v>0</v>
      </c>
      <c r="AW471" s="288">
        <f t="shared" si="163"/>
        <v>0</v>
      </c>
      <c r="AX471" s="288">
        <f t="shared" si="163"/>
        <v>0</v>
      </c>
      <c r="AY471" s="288">
        <f t="shared" si="163"/>
        <v>0</v>
      </c>
      <c r="AZ471" s="288">
        <f t="shared" si="163"/>
        <v>0</v>
      </c>
      <c r="BA471" s="288">
        <f t="shared" si="163"/>
        <v>0</v>
      </c>
      <c r="BB471" s="288">
        <f t="shared" si="163"/>
        <v>0</v>
      </c>
      <c r="BC471" s="288">
        <f t="shared" si="163"/>
        <v>0</v>
      </c>
      <c r="BD471" s="288">
        <f t="shared" si="163"/>
        <v>0</v>
      </c>
      <c r="BE471" s="1305">
        <f t="shared" si="163"/>
        <v>0</v>
      </c>
    </row>
    <row r="472" spans="2:57" x14ac:dyDescent="0.25">
      <c r="B472" s="277"/>
      <c r="C472" s="278"/>
      <c r="D472" s="278"/>
      <c r="E472" s="278"/>
      <c r="F472" s="278"/>
      <c r="G472" s="288"/>
      <c r="H472" s="288"/>
      <c r="I472" s="288"/>
      <c r="J472" s="288"/>
      <c r="K472" s="288"/>
      <c r="L472" s="288"/>
      <c r="M472" s="288"/>
      <c r="N472" s="288"/>
      <c r="O472" s="288"/>
      <c r="P472" s="288"/>
      <c r="Q472" s="288"/>
      <c r="R472" s="288"/>
      <c r="S472" s="288"/>
      <c r="T472" s="288"/>
      <c r="U472" s="288"/>
      <c r="V472" s="288"/>
      <c r="W472" s="288"/>
      <c r="X472" s="288"/>
      <c r="Y472" s="288"/>
      <c r="Z472" s="288"/>
      <c r="AA472" s="288"/>
      <c r="AB472" s="288"/>
      <c r="AC472" s="288"/>
      <c r="AD472" s="288"/>
      <c r="AE472" s="288"/>
      <c r="AF472" s="288"/>
      <c r="AG472" s="288"/>
      <c r="AH472" s="288"/>
      <c r="AI472" s="288"/>
      <c r="AJ472" s="288"/>
      <c r="AK472" s="288"/>
      <c r="AL472" s="288"/>
      <c r="AM472" s="288"/>
      <c r="AN472" s="288"/>
      <c r="AO472" s="288"/>
      <c r="AP472" s="288"/>
      <c r="AQ472" s="288"/>
      <c r="AR472" s="288"/>
      <c r="AS472" s="288"/>
      <c r="AT472" s="288"/>
      <c r="AU472" s="288"/>
      <c r="AV472" s="288"/>
      <c r="AW472" s="288"/>
      <c r="AX472" s="288"/>
      <c r="AY472" s="288"/>
      <c r="AZ472" s="288"/>
      <c r="BA472" s="288"/>
      <c r="BB472" s="288"/>
      <c r="BC472" s="288"/>
      <c r="BD472" s="288"/>
      <c r="BE472" s="1305"/>
    </row>
    <row r="473" spans="2:57" x14ac:dyDescent="0.25">
      <c r="B473" s="277"/>
      <c r="C473" s="396" t="s">
        <v>71</v>
      </c>
      <c r="D473" s="278"/>
      <c r="E473" s="278"/>
      <c r="F473" s="27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288"/>
      <c r="AF473" s="288"/>
      <c r="AG473" s="288"/>
      <c r="AH473" s="288"/>
      <c r="AI473" s="288"/>
      <c r="AJ473" s="288"/>
      <c r="AK473" s="288"/>
      <c r="AL473" s="288"/>
      <c r="AM473" s="288"/>
      <c r="AN473" s="288"/>
      <c r="AO473" s="288"/>
      <c r="AP473" s="288"/>
      <c r="AQ473" s="288"/>
      <c r="AR473" s="288"/>
      <c r="AS473" s="288"/>
      <c r="AT473" s="288"/>
      <c r="AU473" s="288"/>
      <c r="AV473" s="288"/>
      <c r="AW473" s="288"/>
      <c r="AX473" s="288"/>
      <c r="AY473" s="288"/>
      <c r="AZ473" s="288"/>
      <c r="BA473" s="288"/>
      <c r="BB473" s="288"/>
      <c r="BC473" s="288"/>
      <c r="BD473" s="288"/>
      <c r="BE473" s="1305"/>
    </row>
    <row r="474" spans="2:57" x14ac:dyDescent="0.25">
      <c r="B474" s="277"/>
      <c r="C474" s="278" t="str">
        <f>'II. Inputs, Baseline Energy Mix'!$E$70</f>
        <v>Front-end Fee</v>
      </c>
      <c r="D474" s="278"/>
      <c r="E474" s="278"/>
      <c r="F474" s="278"/>
      <c r="G474" s="288"/>
      <c r="H474" s="288">
        <f>IF($G458&gt;0, G458*'II. Inputs, Baseline Energy Mix'!$P$70/10000,0)</f>
        <v>0</v>
      </c>
      <c r="I474" s="288">
        <v>0</v>
      </c>
      <c r="J474" s="288">
        <v>0</v>
      </c>
      <c r="K474" s="288">
        <v>0</v>
      </c>
      <c r="L474" s="288">
        <v>0</v>
      </c>
      <c r="M474" s="288">
        <v>0</v>
      </c>
      <c r="N474" s="288">
        <v>0</v>
      </c>
      <c r="O474" s="288">
        <v>0</v>
      </c>
      <c r="P474" s="288">
        <v>0</v>
      </c>
      <c r="Q474" s="288">
        <v>0</v>
      </c>
      <c r="R474" s="288">
        <v>0</v>
      </c>
      <c r="S474" s="288">
        <v>0</v>
      </c>
      <c r="T474" s="288">
        <v>0</v>
      </c>
      <c r="U474" s="288">
        <v>0</v>
      </c>
      <c r="V474" s="288">
        <v>0</v>
      </c>
      <c r="W474" s="288">
        <v>0</v>
      </c>
      <c r="X474" s="288">
        <v>0</v>
      </c>
      <c r="Y474" s="288">
        <v>0</v>
      </c>
      <c r="Z474" s="288">
        <v>0</v>
      </c>
      <c r="AA474" s="288">
        <v>0</v>
      </c>
      <c r="AB474" s="288">
        <v>0</v>
      </c>
      <c r="AC474" s="288">
        <v>0</v>
      </c>
      <c r="AD474" s="288">
        <v>0</v>
      </c>
      <c r="AE474" s="288">
        <v>0</v>
      </c>
      <c r="AF474" s="288">
        <v>0</v>
      </c>
      <c r="AG474" s="288">
        <v>0</v>
      </c>
      <c r="AH474" s="288">
        <v>0</v>
      </c>
      <c r="AI474" s="288">
        <v>0</v>
      </c>
      <c r="AJ474" s="288">
        <v>0</v>
      </c>
      <c r="AK474" s="288">
        <v>0</v>
      </c>
      <c r="AL474" s="288">
        <v>0</v>
      </c>
      <c r="AM474" s="288">
        <v>0</v>
      </c>
      <c r="AN474" s="288">
        <v>0</v>
      </c>
      <c r="AO474" s="288">
        <v>0</v>
      </c>
      <c r="AP474" s="288">
        <v>0</v>
      </c>
      <c r="AQ474" s="288">
        <v>0</v>
      </c>
      <c r="AR474" s="288">
        <v>0</v>
      </c>
      <c r="AS474" s="288">
        <v>0</v>
      </c>
      <c r="AT474" s="288">
        <v>0</v>
      </c>
      <c r="AU474" s="288">
        <v>0</v>
      </c>
      <c r="AV474" s="288">
        <v>0</v>
      </c>
      <c r="AW474" s="288">
        <v>0</v>
      </c>
      <c r="AX474" s="288">
        <v>0</v>
      </c>
      <c r="AY474" s="288">
        <v>0</v>
      </c>
      <c r="AZ474" s="288">
        <v>0</v>
      </c>
      <c r="BA474" s="288">
        <v>0</v>
      </c>
      <c r="BB474" s="288">
        <v>0</v>
      </c>
      <c r="BC474" s="288">
        <v>0</v>
      </c>
      <c r="BD474" s="288">
        <v>0</v>
      </c>
      <c r="BE474" s="1305">
        <v>0</v>
      </c>
    </row>
    <row r="475" spans="2:57" x14ac:dyDescent="0.25">
      <c r="B475" s="277"/>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c r="BA475" s="278"/>
      <c r="BB475" s="278"/>
      <c r="BC475" s="278"/>
      <c r="BD475" s="278"/>
      <c r="BE475" s="279"/>
    </row>
    <row r="476" spans="2:57" x14ac:dyDescent="0.25">
      <c r="B476" s="289" t="s">
        <v>179</v>
      </c>
      <c r="C476" s="278"/>
      <c r="D476" s="278"/>
      <c r="E476" s="278"/>
      <c r="F476" s="278"/>
      <c r="G476" s="278"/>
      <c r="H476" s="278"/>
      <c r="I476" s="278"/>
      <c r="J476" s="278"/>
      <c r="K476" s="278"/>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278"/>
      <c r="AT476" s="278"/>
      <c r="AU476" s="278"/>
      <c r="AV476" s="278"/>
      <c r="AW476" s="278"/>
      <c r="AX476" s="278"/>
      <c r="AY476" s="278"/>
      <c r="AZ476" s="278"/>
      <c r="BA476" s="278"/>
      <c r="BB476" s="278"/>
      <c r="BC476" s="278"/>
      <c r="BD476" s="278"/>
      <c r="BE476" s="279"/>
    </row>
    <row r="477" spans="2:57" x14ac:dyDescent="0.25">
      <c r="B477" s="277"/>
      <c r="C477" s="393" t="s">
        <v>68</v>
      </c>
      <c r="D477" s="281" t="s">
        <v>22</v>
      </c>
      <c r="E477" s="278"/>
      <c r="F477" s="278"/>
      <c r="G477" s="288">
        <f>IF('II. Inputs, Baseline Energy Mix'!$P$15&gt;0,('II. Inputs, Baseline Energy Mix'!$P$16*'II. Inputs, Baseline Energy Mix'!$P$17*'II. Inputs, Baseline Energy Mix'!$P$30*'II. Inputs, Baseline Energy Mix'!$P$33),0)</f>
        <v>0</v>
      </c>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c r="BA477" s="278"/>
      <c r="BB477" s="278"/>
      <c r="BC477" s="278"/>
      <c r="BD477" s="278"/>
      <c r="BE477" s="279"/>
    </row>
    <row r="478" spans="2:57" x14ac:dyDescent="0.25">
      <c r="B478" s="277"/>
      <c r="C478" s="393" t="s">
        <v>69</v>
      </c>
      <c r="D478" s="281" t="s">
        <v>20</v>
      </c>
      <c r="E478" s="278"/>
      <c r="F478" s="278"/>
      <c r="G478" s="280">
        <f>SUM('II. Inputs, Baseline Energy Mix'!$P$73)</f>
        <v>0</v>
      </c>
      <c r="H478" s="278"/>
      <c r="I478" s="278"/>
      <c r="J478" s="278"/>
      <c r="K478" s="278"/>
      <c r="L478" s="278"/>
      <c r="M478" s="278"/>
      <c r="N478" s="278"/>
      <c r="O478" s="278"/>
      <c r="P478" s="278"/>
      <c r="Q478" s="278"/>
      <c r="R478" s="278"/>
      <c r="S478" s="278"/>
      <c r="T478" s="278"/>
      <c r="U478" s="278"/>
      <c r="V478" s="278"/>
      <c r="W478" s="278"/>
      <c r="X478" s="278"/>
      <c r="Y478" s="278"/>
      <c r="Z478" s="278"/>
      <c r="AA478" s="278"/>
      <c r="AB478" s="278"/>
      <c r="AC478" s="278"/>
      <c r="AD478" s="278"/>
      <c r="AE478" s="278"/>
      <c r="AF478" s="278"/>
      <c r="AG478" s="278"/>
      <c r="AH478" s="278"/>
      <c r="AI478" s="278"/>
      <c r="AJ478" s="278"/>
      <c r="AK478" s="278"/>
      <c r="AL478" s="278"/>
      <c r="AM478" s="278"/>
      <c r="AN478" s="278"/>
      <c r="AO478" s="278"/>
      <c r="AP478" s="278"/>
      <c r="AQ478" s="278"/>
      <c r="AR478" s="278"/>
      <c r="AS478" s="278"/>
      <c r="AT478" s="278"/>
      <c r="AU478" s="278"/>
      <c r="AV478" s="278"/>
      <c r="AW478" s="278"/>
      <c r="AX478" s="278"/>
      <c r="AY478" s="278"/>
      <c r="AZ478" s="278"/>
      <c r="BA478" s="278"/>
      <c r="BB478" s="278"/>
      <c r="BC478" s="278"/>
      <c r="BD478" s="278"/>
      <c r="BE478" s="279"/>
    </row>
    <row r="479" spans="2:57" x14ac:dyDescent="0.25">
      <c r="B479" s="277"/>
      <c r="C479" s="393" t="s">
        <v>70</v>
      </c>
      <c r="D479" s="281" t="s">
        <v>16</v>
      </c>
      <c r="E479" s="278"/>
      <c r="F479" s="278"/>
      <c r="G479" s="397">
        <f>SUM('II. Inputs, Baseline Energy Mix'!$P$72)</f>
        <v>0</v>
      </c>
      <c r="H479" s="278"/>
      <c r="I479" s="278"/>
      <c r="J479" s="278"/>
      <c r="K479" s="278"/>
      <c r="L479" s="278"/>
      <c r="M479" s="278"/>
      <c r="N479" s="278"/>
      <c r="O479" s="278"/>
      <c r="P479" s="278"/>
      <c r="Q479" s="278"/>
      <c r="R479" s="278"/>
      <c r="S479" s="278"/>
      <c r="T479" s="278"/>
      <c r="U479" s="278"/>
      <c r="V479" s="278"/>
      <c r="W479" s="278"/>
      <c r="X479" s="278"/>
      <c r="Y479" s="278"/>
      <c r="Z479" s="278"/>
      <c r="AA479" s="278"/>
      <c r="AB479" s="278"/>
      <c r="AC479" s="278"/>
      <c r="AD479" s="278"/>
      <c r="AE479" s="278"/>
      <c r="AF479" s="278"/>
      <c r="AG479" s="278"/>
      <c r="AH479" s="278"/>
      <c r="AI479" s="278"/>
      <c r="AJ479" s="278"/>
      <c r="AK479" s="278"/>
      <c r="AL479" s="278"/>
      <c r="AM479" s="278"/>
      <c r="AN479" s="278"/>
      <c r="AO479" s="278"/>
      <c r="AP479" s="278"/>
      <c r="AQ479" s="278"/>
      <c r="AR479" s="278"/>
      <c r="AS479" s="278"/>
      <c r="AT479" s="278"/>
      <c r="AU479" s="278"/>
      <c r="AV479" s="278"/>
      <c r="AW479" s="278"/>
      <c r="AX479" s="278"/>
      <c r="AY479" s="278"/>
      <c r="AZ479" s="278"/>
      <c r="BA479" s="278"/>
      <c r="BB479" s="278"/>
      <c r="BC479" s="278"/>
      <c r="BD479" s="278"/>
      <c r="BE479" s="279"/>
    </row>
    <row r="480" spans="2:57" x14ac:dyDescent="0.25">
      <c r="B480" s="277"/>
      <c r="C480" s="393" t="str">
        <f>'II. Inputs, Baseline Energy Mix'!$E$75</f>
        <v>Guarantee Coverage, as a % of Commercial Loan Value</v>
      </c>
      <c r="D480" s="281" t="s">
        <v>16</v>
      </c>
      <c r="E480" s="278"/>
      <c r="F480" s="278"/>
      <c r="G480" s="398">
        <f>SUM('II. Inputs, Baseline Energy Mix'!$P$75)</f>
        <v>0</v>
      </c>
      <c r="H480" s="278"/>
      <c r="I480" s="278"/>
      <c r="J480" s="278"/>
      <c r="K480" s="278"/>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78"/>
      <c r="AR480" s="278"/>
      <c r="AS480" s="278"/>
      <c r="AT480" s="278"/>
      <c r="AU480" s="278"/>
      <c r="AV480" s="278"/>
      <c r="AW480" s="278"/>
      <c r="AX480" s="278"/>
      <c r="AY480" s="278"/>
      <c r="AZ480" s="278"/>
      <c r="BA480" s="278"/>
      <c r="BB480" s="278"/>
      <c r="BC480" s="278"/>
      <c r="BD480" s="278"/>
      <c r="BE480" s="279"/>
    </row>
    <row r="481" spans="2:58" x14ac:dyDescent="0.25">
      <c r="B481" s="277"/>
      <c r="C481" s="393" t="str">
        <f>'II. Inputs, Baseline Energy Mix'!$E$76</f>
        <v xml:space="preserve">Term of Public Guarantee Coverage </v>
      </c>
      <c r="D481" s="281" t="s">
        <v>20</v>
      </c>
      <c r="E481" s="278"/>
      <c r="F481" s="278"/>
      <c r="G481" s="280">
        <f>'II. Inputs, Baseline Energy Mix'!$P$76</f>
        <v>0</v>
      </c>
      <c r="H481" s="278"/>
      <c r="I481" s="278"/>
      <c r="J481" s="278"/>
      <c r="K481" s="278"/>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78"/>
      <c r="AL481" s="278"/>
      <c r="AM481" s="278"/>
      <c r="AN481" s="278"/>
      <c r="AO481" s="278"/>
      <c r="AP481" s="278"/>
      <c r="AQ481" s="278"/>
      <c r="AR481" s="278"/>
      <c r="AS481" s="278"/>
      <c r="AT481" s="278"/>
      <c r="AU481" s="278"/>
      <c r="AV481" s="278"/>
      <c r="AW481" s="278"/>
      <c r="AX481" s="278"/>
      <c r="AY481" s="278"/>
      <c r="AZ481" s="278"/>
      <c r="BA481" s="278"/>
      <c r="BB481" s="278"/>
      <c r="BC481" s="278"/>
      <c r="BD481" s="278"/>
      <c r="BE481" s="279"/>
    </row>
    <row r="482" spans="2:58" x14ac:dyDescent="0.25">
      <c r="B482" s="277"/>
      <c r="C482" s="278"/>
      <c r="D482" s="278"/>
      <c r="E482" s="278"/>
      <c r="F482" s="278"/>
      <c r="G482" s="278"/>
      <c r="H482" s="278"/>
      <c r="I482" s="278"/>
      <c r="J482" s="278"/>
      <c r="K482" s="278"/>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8"/>
      <c r="AY482" s="278"/>
      <c r="AZ482" s="278"/>
      <c r="BA482" s="278"/>
      <c r="BB482" s="278"/>
      <c r="BC482" s="278"/>
      <c r="BD482" s="278"/>
      <c r="BE482" s="279"/>
    </row>
    <row r="483" spans="2:58" x14ac:dyDescent="0.25">
      <c r="B483" s="277"/>
      <c r="C483" s="395" t="s">
        <v>67</v>
      </c>
      <c r="D483" s="278"/>
      <c r="E483" s="278"/>
      <c r="F483" s="27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288"/>
      <c r="AF483" s="288"/>
      <c r="AG483" s="288"/>
      <c r="AH483" s="288"/>
      <c r="AI483" s="288"/>
      <c r="AJ483" s="288"/>
      <c r="AK483" s="288"/>
      <c r="AL483" s="288"/>
      <c r="AM483" s="288"/>
      <c r="AN483" s="288"/>
      <c r="AO483" s="288"/>
      <c r="AP483" s="288"/>
      <c r="AQ483" s="288"/>
      <c r="AR483" s="288"/>
      <c r="AS483" s="288"/>
      <c r="AT483" s="288"/>
      <c r="AU483" s="288"/>
      <c r="AV483" s="288"/>
      <c r="AW483" s="288"/>
      <c r="AX483" s="288"/>
      <c r="AY483" s="288"/>
      <c r="AZ483" s="288"/>
      <c r="BA483" s="288"/>
      <c r="BB483" s="288"/>
      <c r="BC483" s="288"/>
      <c r="BD483" s="288"/>
      <c r="BE483" s="1305"/>
      <c r="BF483" s="249"/>
    </row>
    <row r="484" spans="2:58" x14ac:dyDescent="0.25">
      <c r="B484" s="277"/>
      <c r="C484" s="278" t="s">
        <v>73</v>
      </c>
      <c r="D484" s="278"/>
      <c r="E484" s="278"/>
      <c r="F484" s="278"/>
      <c r="G484" s="288"/>
      <c r="H484" s="288">
        <f>IF(H$299&gt;$G478,0,IPMT($G479,H$299,$G478,-$G477))</f>
        <v>0</v>
      </c>
      <c r="I484" s="288">
        <f t="shared" ref="I484:BE484" si="164">IF(I$299&gt;$G478,0,IPMT($G479,I$299,$G478,-$G477))</f>
        <v>0</v>
      </c>
      <c r="J484" s="288">
        <f t="shared" si="164"/>
        <v>0</v>
      </c>
      <c r="K484" s="288">
        <f t="shared" si="164"/>
        <v>0</v>
      </c>
      <c r="L484" s="288">
        <f t="shared" si="164"/>
        <v>0</v>
      </c>
      <c r="M484" s="288">
        <f t="shared" si="164"/>
        <v>0</v>
      </c>
      <c r="N484" s="288">
        <f t="shared" si="164"/>
        <v>0</v>
      </c>
      <c r="O484" s="288">
        <f t="shared" si="164"/>
        <v>0</v>
      </c>
      <c r="P484" s="288">
        <f t="shared" si="164"/>
        <v>0</v>
      </c>
      <c r="Q484" s="288">
        <f t="shared" si="164"/>
        <v>0</v>
      </c>
      <c r="R484" s="288">
        <f t="shared" si="164"/>
        <v>0</v>
      </c>
      <c r="S484" s="288">
        <f t="shared" si="164"/>
        <v>0</v>
      </c>
      <c r="T484" s="288">
        <f t="shared" si="164"/>
        <v>0</v>
      </c>
      <c r="U484" s="288">
        <f t="shared" si="164"/>
        <v>0</v>
      </c>
      <c r="V484" s="288">
        <f t="shared" si="164"/>
        <v>0</v>
      </c>
      <c r="W484" s="288">
        <f t="shared" si="164"/>
        <v>0</v>
      </c>
      <c r="X484" s="288">
        <f t="shared" si="164"/>
        <v>0</v>
      </c>
      <c r="Y484" s="288">
        <f t="shared" si="164"/>
        <v>0</v>
      </c>
      <c r="Z484" s="288">
        <f t="shared" si="164"/>
        <v>0</v>
      </c>
      <c r="AA484" s="288">
        <f t="shared" si="164"/>
        <v>0</v>
      </c>
      <c r="AB484" s="288">
        <f t="shared" si="164"/>
        <v>0</v>
      </c>
      <c r="AC484" s="288">
        <f t="shared" si="164"/>
        <v>0</v>
      </c>
      <c r="AD484" s="288">
        <f t="shared" si="164"/>
        <v>0</v>
      </c>
      <c r="AE484" s="288">
        <f t="shared" si="164"/>
        <v>0</v>
      </c>
      <c r="AF484" s="288">
        <f t="shared" si="164"/>
        <v>0</v>
      </c>
      <c r="AG484" s="288">
        <f t="shared" si="164"/>
        <v>0</v>
      </c>
      <c r="AH484" s="288">
        <f t="shared" si="164"/>
        <v>0</v>
      </c>
      <c r="AI484" s="288">
        <f t="shared" si="164"/>
        <v>0</v>
      </c>
      <c r="AJ484" s="288">
        <f t="shared" si="164"/>
        <v>0</v>
      </c>
      <c r="AK484" s="288">
        <f t="shared" si="164"/>
        <v>0</v>
      </c>
      <c r="AL484" s="288">
        <f t="shared" si="164"/>
        <v>0</v>
      </c>
      <c r="AM484" s="288">
        <f t="shared" si="164"/>
        <v>0</v>
      </c>
      <c r="AN484" s="288">
        <f t="shared" si="164"/>
        <v>0</v>
      </c>
      <c r="AO484" s="288">
        <f t="shared" si="164"/>
        <v>0</v>
      </c>
      <c r="AP484" s="288">
        <f t="shared" si="164"/>
        <v>0</v>
      </c>
      <c r="AQ484" s="288">
        <f t="shared" si="164"/>
        <v>0</v>
      </c>
      <c r="AR484" s="288">
        <f t="shared" si="164"/>
        <v>0</v>
      </c>
      <c r="AS484" s="288">
        <f t="shared" si="164"/>
        <v>0</v>
      </c>
      <c r="AT484" s="288">
        <f t="shared" si="164"/>
        <v>0</v>
      </c>
      <c r="AU484" s="288">
        <f t="shared" si="164"/>
        <v>0</v>
      </c>
      <c r="AV484" s="288">
        <f t="shared" si="164"/>
        <v>0</v>
      </c>
      <c r="AW484" s="288">
        <f t="shared" si="164"/>
        <v>0</v>
      </c>
      <c r="AX484" s="288">
        <f t="shared" si="164"/>
        <v>0</v>
      </c>
      <c r="AY484" s="288">
        <f t="shared" si="164"/>
        <v>0</v>
      </c>
      <c r="AZ484" s="288">
        <f t="shared" si="164"/>
        <v>0</v>
      </c>
      <c r="BA484" s="288">
        <f t="shared" si="164"/>
        <v>0</v>
      </c>
      <c r="BB484" s="288">
        <f t="shared" si="164"/>
        <v>0</v>
      </c>
      <c r="BC484" s="288">
        <f t="shared" si="164"/>
        <v>0</v>
      </c>
      <c r="BD484" s="288">
        <f t="shared" si="164"/>
        <v>0</v>
      </c>
      <c r="BE484" s="1305">
        <f t="shared" si="164"/>
        <v>0</v>
      </c>
      <c r="BF484" s="249"/>
    </row>
    <row r="485" spans="2:58" x14ac:dyDescent="0.25">
      <c r="B485" s="277"/>
      <c r="C485" s="285" t="s">
        <v>72</v>
      </c>
      <c r="D485" s="285"/>
      <c r="E485" s="285"/>
      <c r="F485" s="285"/>
      <c r="G485" s="1306"/>
      <c r="H485" s="1306">
        <f>IF(H$299&gt;$G478,0,PPMT($G479,H$299,$G478,-$G477))</f>
        <v>0</v>
      </c>
      <c r="I485" s="1306">
        <f t="shared" ref="I485:BE485" si="165">IF(I$299&gt;$G478,0,PPMT($G479,I$299,$G478,-$G477))</f>
        <v>0</v>
      </c>
      <c r="J485" s="1306">
        <f t="shared" si="165"/>
        <v>0</v>
      </c>
      <c r="K485" s="1306">
        <f t="shared" si="165"/>
        <v>0</v>
      </c>
      <c r="L485" s="1306">
        <f t="shared" si="165"/>
        <v>0</v>
      </c>
      <c r="M485" s="1306">
        <f t="shared" si="165"/>
        <v>0</v>
      </c>
      <c r="N485" s="1306">
        <f t="shared" si="165"/>
        <v>0</v>
      </c>
      <c r="O485" s="1306">
        <f t="shared" si="165"/>
        <v>0</v>
      </c>
      <c r="P485" s="1306">
        <f t="shared" si="165"/>
        <v>0</v>
      </c>
      <c r="Q485" s="1306">
        <f t="shared" si="165"/>
        <v>0</v>
      </c>
      <c r="R485" s="1306">
        <f t="shared" si="165"/>
        <v>0</v>
      </c>
      <c r="S485" s="1306">
        <f t="shared" si="165"/>
        <v>0</v>
      </c>
      <c r="T485" s="1306">
        <f t="shared" si="165"/>
        <v>0</v>
      </c>
      <c r="U485" s="1306">
        <f t="shared" si="165"/>
        <v>0</v>
      </c>
      <c r="V485" s="1306">
        <f t="shared" si="165"/>
        <v>0</v>
      </c>
      <c r="W485" s="1306">
        <f t="shared" si="165"/>
        <v>0</v>
      </c>
      <c r="X485" s="1306">
        <f t="shared" si="165"/>
        <v>0</v>
      </c>
      <c r="Y485" s="1306">
        <f t="shared" si="165"/>
        <v>0</v>
      </c>
      <c r="Z485" s="1306">
        <f t="shared" si="165"/>
        <v>0</v>
      </c>
      <c r="AA485" s="1306">
        <f t="shared" si="165"/>
        <v>0</v>
      </c>
      <c r="AB485" s="1306">
        <f t="shared" si="165"/>
        <v>0</v>
      </c>
      <c r="AC485" s="1306">
        <f t="shared" si="165"/>
        <v>0</v>
      </c>
      <c r="AD485" s="1306">
        <f t="shared" si="165"/>
        <v>0</v>
      </c>
      <c r="AE485" s="1306">
        <f t="shared" si="165"/>
        <v>0</v>
      </c>
      <c r="AF485" s="1306">
        <f t="shared" si="165"/>
        <v>0</v>
      </c>
      <c r="AG485" s="1306">
        <f t="shared" si="165"/>
        <v>0</v>
      </c>
      <c r="AH485" s="1306">
        <f t="shared" si="165"/>
        <v>0</v>
      </c>
      <c r="AI485" s="1306">
        <f t="shared" si="165"/>
        <v>0</v>
      </c>
      <c r="AJ485" s="1306">
        <f t="shared" si="165"/>
        <v>0</v>
      </c>
      <c r="AK485" s="1306">
        <f t="shared" si="165"/>
        <v>0</v>
      </c>
      <c r="AL485" s="1306">
        <f t="shared" si="165"/>
        <v>0</v>
      </c>
      <c r="AM485" s="1306">
        <f t="shared" si="165"/>
        <v>0</v>
      </c>
      <c r="AN485" s="1306">
        <f t="shared" si="165"/>
        <v>0</v>
      </c>
      <c r="AO485" s="1306">
        <f t="shared" si="165"/>
        <v>0</v>
      </c>
      <c r="AP485" s="1306">
        <f t="shared" si="165"/>
        <v>0</v>
      </c>
      <c r="AQ485" s="1306">
        <f t="shared" si="165"/>
        <v>0</v>
      </c>
      <c r="AR485" s="1306">
        <f t="shared" si="165"/>
        <v>0</v>
      </c>
      <c r="AS485" s="1306">
        <f t="shared" si="165"/>
        <v>0</v>
      </c>
      <c r="AT485" s="1306">
        <f t="shared" si="165"/>
        <v>0</v>
      </c>
      <c r="AU485" s="1306">
        <f t="shared" si="165"/>
        <v>0</v>
      </c>
      <c r="AV485" s="1306">
        <f t="shared" si="165"/>
        <v>0</v>
      </c>
      <c r="AW485" s="1306">
        <f t="shared" si="165"/>
        <v>0</v>
      </c>
      <c r="AX485" s="1306">
        <f t="shared" si="165"/>
        <v>0</v>
      </c>
      <c r="AY485" s="1306">
        <f t="shared" si="165"/>
        <v>0</v>
      </c>
      <c r="AZ485" s="1306">
        <f t="shared" si="165"/>
        <v>0</v>
      </c>
      <c r="BA485" s="1306">
        <f t="shared" si="165"/>
        <v>0</v>
      </c>
      <c r="BB485" s="1306">
        <f t="shared" si="165"/>
        <v>0</v>
      </c>
      <c r="BC485" s="1306">
        <f t="shared" si="165"/>
        <v>0</v>
      </c>
      <c r="BD485" s="1306">
        <f t="shared" si="165"/>
        <v>0</v>
      </c>
      <c r="BE485" s="1307">
        <f t="shared" si="165"/>
        <v>0</v>
      </c>
      <c r="BF485" s="249"/>
    </row>
    <row r="486" spans="2:58" x14ac:dyDescent="0.25">
      <c r="B486" s="277"/>
      <c r="C486" s="278" t="s">
        <v>74</v>
      </c>
      <c r="D486" s="278"/>
      <c r="E486" s="278"/>
      <c r="F486" s="278"/>
      <c r="G486" s="288"/>
      <c r="H486" s="288">
        <f>SUM(H484:H485)</f>
        <v>0</v>
      </c>
      <c r="I486" s="288">
        <f t="shared" ref="I486:BE486" si="166">SUM(I484:I485)</f>
        <v>0</v>
      </c>
      <c r="J486" s="288">
        <f t="shared" si="166"/>
        <v>0</v>
      </c>
      <c r="K486" s="288">
        <f t="shared" si="166"/>
        <v>0</v>
      </c>
      <c r="L486" s="288">
        <f t="shared" si="166"/>
        <v>0</v>
      </c>
      <c r="M486" s="288">
        <f t="shared" si="166"/>
        <v>0</v>
      </c>
      <c r="N486" s="288">
        <f t="shared" si="166"/>
        <v>0</v>
      </c>
      <c r="O486" s="288">
        <f t="shared" si="166"/>
        <v>0</v>
      </c>
      <c r="P486" s="288">
        <f t="shared" si="166"/>
        <v>0</v>
      </c>
      <c r="Q486" s="288">
        <f t="shared" si="166"/>
        <v>0</v>
      </c>
      <c r="R486" s="288">
        <f t="shared" si="166"/>
        <v>0</v>
      </c>
      <c r="S486" s="288">
        <f t="shared" si="166"/>
        <v>0</v>
      </c>
      <c r="T486" s="288">
        <f t="shared" si="166"/>
        <v>0</v>
      </c>
      <c r="U486" s="288">
        <f t="shared" si="166"/>
        <v>0</v>
      </c>
      <c r="V486" s="288">
        <f t="shared" si="166"/>
        <v>0</v>
      </c>
      <c r="W486" s="288">
        <f t="shared" si="166"/>
        <v>0</v>
      </c>
      <c r="X486" s="288">
        <f t="shared" si="166"/>
        <v>0</v>
      </c>
      <c r="Y486" s="288">
        <f t="shared" si="166"/>
        <v>0</v>
      </c>
      <c r="Z486" s="288">
        <f t="shared" si="166"/>
        <v>0</v>
      </c>
      <c r="AA486" s="288">
        <f t="shared" si="166"/>
        <v>0</v>
      </c>
      <c r="AB486" s="288">
        <f t="shared" si="166"/>
        <v>0</v>
      </c>
      <c r="AC486" s="288">
        <f t="shared" si="166"/>
        <v>0</v>
      </c>
      <c r="AD486" s="288">
        <f t="shared" si="166"/>
        <v>0</v>
      </c>
      <c r="AE486" s="288">
        <f t="shared" si="166"/>
        <v>0</v>
      </c>
      <c r="AF486" s="288">
        <f t="shared" si="166"/>
        <v>0</v>
      </c>
      <c r="AG486" s="288">
        <f t="shared" si="166"/>
        <v>0</v>
      </c>
      <c r="AH486" s="288">
        <f t="shared" si="166"/>
        <v>0</v>
      </c>
      <c r="AI486" s="288">
        <f t="shared" si="166"/>
        <v>0</v>
      </c>
      <c r="AJ486" s="288">
        <f t="shared" si="166"/>
        <v>0</v>
      </c>
      <c r="AK486" s="288">
        <f t="shared" si="166"/>
        <v>0</v>
      </c>
      <c r="AL486" s="288">
        <f t="shared" si="166"/>
        <v>0</v>
      </c>
      <c r="AM486" s="288">
        <f t="shared" si="166"/>
        <v>0</v>
      </c>
      <c r="AN486" s="288">
        <f t="shared" si="166"/>
        <v>0</v>
      </c>
      <c r="AO486" s="288">
        <f t="shared" si="166"/>
        <v>0</v>
      </c>
      <c r="AP486" s="288">
        <f t="shared" si="166"/>
        <v>0</v>
      </c>
      <c r="AQ486" s="288">
        <f t="shared" si="166"/>
        <v>0</v>
      </c>
      <c r="AR486" s="288">
        <f t="shared" si="166"/>
        <v>0</v>
      </c>
      <c r="AS486" s="288">
        <f t="shared" si="166"/>
        <v>0</v>
      </c>
      <c r="AT486" s="288">
        <f t="shared" si="166"/>
        <v>0</v>
      </c>
      <c r="AU486" s="288">
        <f t="shared" si="166"/>
        <v>0</v>
      </c>
      <c r="AV486" s="288">
        <f t="shared" si="166"/>
        <v>0</v>
      </c>
      <c r="AW486" s="288">
        <f t="shared" si="166"/>
        <v>0</v>
      </c>
      <c r="AX486" s="288">
        <f t="shared" si="166"/>
        <v>0</v>
      </c>
      <c r="AY486" s="288">
        <f t="shared" si="166"/>
        <v>0</v>
      </c>
      <c r="AZ486" s="288">
        <f t="shared" si="166"/>
        <v>0</v>
      </c>
      <c r="BA486" s="288">
        <f t="shared" si="166"/>
        <v>0</v>
      </c>
      <c r="BB486" s="288">
        <f t="shared" si="166"/>
        <v>0</v>
      </c>
      <c r="BC486" s="288">
        <f t="shared" si="166"/>
        <v>0</v>
      </c>
      <c r="BD486" s="288">
        <f t="shared" si="166"/>
        <v>0</v>
      </c>
      <c r="BE486" s="1305">
        <f t="shared" si="166"/>
        <v>0</v>
      </c>
      <c r="BF486" s="249"/>
    </row>
    <row r="487" spans="2:58" x14ac:dyDescent="0.25">
      <c r="B487" s="277"/>
      <c r="C487" s="278"/>
      <c r="D487" s="278"/>
      <c r="E487" s="278"/>
      <c r="F487" s="278"/>
      <c r="G487" s="288"/>
      <c r="H487" s="288"/>
      <c r="I487" s="288"/>
      <c r="J487" s="288"/>
      <c r="K487" s="288"/>
      <c r="L487" s="288"/>
      <c r="M487" s="288"/>
      <c r="N487" s="288"/>
      <c r="O487" s="288"/>
      <c r="P487" s="288"/>
      <c r="Q487" s="288"/>
      <c r="R487" s="288"/>
      <c r="S487" s="288"/>
      <c r="T487" s="288"/>
      <c r="U487" s="288"/>
      <c r="V487" s="288"/>
      <c r="W487" s="288"/>
      <c r="X487" s="288"/>
      <c r="Y487" s="288"/>
      <c r="Z487" s="288"/>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c r="AV487" s="288"/>
      <c r="AW487" s="288"/>
      <c r="AX487" s="288"/>
      <c r="AY487" s="288"/>
      <c r="AZ487" s="288"/>
      <c r="BA487" s="288"/>
      <c r="BB487" s="288"/>
      <c r="BC487" s="288"/>
      <c r="BD487" s="288"/>
      <c r="BE487" s="1305"/>
      <c r="BF487" s="249"/>
    </row>
    <row r="488" spans="2:58" x14ac:dyDescent="0.25">
      <c r="B488" s="277"/>
      <c r="C488" s="396" t="s">
        <v>65</v>
      </c>
      <c r="D488" s="278"/>
      <c r="E488" s="278"/>
      <c r="F488" s="278"/>
      <c r="G488" s="288"/>
      <c r="H488" s="288"/>
      <c r="I488" s="288"/>
      <c r="J488" s="288"/>
      <c r="K488" s="288"/>
      <c r="L488" s="288"/>
      <c r="M488" s="288"/>
      <c r="N488" s="288"/>
      <c r="O488" s="288"/>
      <c r="P488" s="288"/>
      <c r="Q488" s="288"/>
      <c r="R488" s="288"/>
      <c r="S488" s="288"/>
      <c r="T488" s="288"/>
      <c r="U488" s="288"/>
      <c r="V488" s="288"/>
      <c r="W488" s="288"/>
      <c r="X488" s="288"/>
      <c r="Y488" s="288"/>
      <c r="Z488" s="288"/>
      <c r="AA488" s="288"/>
      <c r="AB488" s="288"/>
      <c r="AC488" s="288"/>
      <c r="AD488" s="288"/>
      <c r="AE488" s="288"/>
      <c r="AF488" s="288"/>
      <c r="AG488" s="288"/>
      <c r="AH488" s="288"/>
      <c r="AI488" s="288"/>
      <c r="AJ488" s="288"/>
      <c r="AK488" s="288"/>
      <c r="AL488" s="288"/>
      <c r="AM488" s="288"/>
      <c r="AN488" s="288"/>
      <c r="AO488" s="288"/>
      <c r="AP488" s="288"/>
      <c r="AQ488" s="288"/>
      <c r="AR488" s="288"/>
      <c r="AS488" s="288"/>
      <c r="AT488" s="288"/>
      <c r="AU488" s="288"/>
      <c r="AV488" s="288"/>
      <c r="AW488" s="288"/>
      <c r="AX488" s="288"/>
      <c r="AY488" s="288"/>
      <c r="AZ488" s="288"/>
      <c r="BA488" s="288"/>
      <c r="BB488" s="288"/>
      <c r="BC488" s="288"/>
      <c r="BD488" s="288"/>
      <c r="BE488" s="1305"/>
      <c r="BF488" s="249"/>
    </row>
    <row r="489" spans="2:58" x14ac:dyDescent="0.25">
      <c r="B489" s="277"/>
      <c r="C489" s="278" t="s">
        <v>75</v>
      </c>
      <c r="D489" s="278"/>
      <c r="E489" s="278"/>
      <c r="F489" s="278"/>
      <c r="G489" s="288">
        <v>0</v>
      </c>
      <c r="H489" s="288">
        <f t="shared" ref="H489:AM489" si="167">G492</f>
        <v>0</v>
      </c>
      <c r="I489" s="288">
        <f t="shared" si="167"/>
        <v>0</v>
      </c>
      <c r="J489" s="288">
        <f t="shared" si="167"/>
        <v>0</v>
      </c>
      <c r="K489" s="288">
        <f t="shared" si="167"/>
        <v>0</v>
      </c>
      <c r="L489" s="288">
        <f t="shared" si="167"/>
        <v>0</v>
      </c>
      <c r="M489" s="288">
        <f t="shared" si="167"/>
        <v>0</v>
      </c>
      <c r="N489" s="288">
        <f t="shared" si="167"/>
        <v>0</v>
      </c>
      <c r="O489" s="288">
        <f t="shared" si="167"/>
        <v>0</v>
      </c>
      <c r="P489" s="288">
        <f t="shared" si="167"/>
        <v>0</v>
      </c>
      <c r="Q489" s="288">
        <f t="shared" si="167"/>
        <v>0</v>
      </c>
      <c r="R489" s="288">
        <f t="shared" si="167"/>
        <v>0</v>
      </c>
      <c r="S489" s="288">
        <f t="shared" si="167"/>
        <v>0</v>
      </c>
      <c r="T489" s="288">
        <f t="shared" si="167"/>
        <v>0</v>
      </c>
      <c r="U489" s="288">
        <f t="shared" si="167"/>
        <v>0</v>
      </c>
      <c r="V489" s="288">
        <f t="shared" si="167"/>
        <v>0</v>
      </c>
      <c r="W489" s="288">
        <f t="shared" si="167"/>
        <v>0</v>
      </c>
      <c r="X489" s="288">
        <f t="shared" si="167"/>
        <v>0</v>
      </c>
      <c r="Y489" s="288">
        <f t="shared" si="167"/>
        <v>0</v>
      </c>
      <c r="Z489" s="288">
        <f t="shared" si="167"/>
        <v>0</v>
      </c>
      <c r="AA489" s="288">
        <f t="shared" si="167"/>
        <v>0</v>
      </c>
      <c r="AB489" s="288">
        <f t="shared" si="167"/>
        <v>0</v>
      </c>
      <c r="AC489" s="288">
        <f t="shared" si="167"/>
        <v>0</v>
      </c>
      <c r="AD489" s="288">
        <f t="shared" si="167"/>
        <v>0</v>
      </c>
      <c r="AE489" s="288">
        <f t="shared" si="167"/>
        <v>0</v>
      </c>
      <c r="AF489" s="288">
        <f t="shared" si="167"/>
        <v>0</v>
      </c>
      <c r="AG489" s="288">
        <f t="shared" si="167"/>
        <v>0</v>
      </c>
      <c r="AH489" s="288">
        <f t="shared" si="167"/>
        <v>0</v>
      </c>
      <c r="AI489" s="288">
        <f t="shared" si="167"/>
        <v>0</v>
      </c>
      <c r="AJ489" s="288">
        <f t="shared" si="167"/>
        <v>0</v>
      </c>
      <c r="AK489" s="288">
        <f t="shared" si="167"/>
        <v>0</v>
      </c>
      <c r="AL489" s="288">
        <f t="shared" si="167"/>
        <v>0</v>
      </c>
      <c r="AM489" s="288">
        <f t="shared" si="167"/>
        <v>0</v>
      </c>
      <c r="AN489" s="288">
        <f t="shared" ref="AN489:BE489" si="168">AM492</f>
        <v>0</v>
      </c>
      <c r="AO489" s="288">
        <f t="shared" si="168"/>
        <v>0</v>
      </c>
      <c r="AP489" s="288">
        <f t="shared" si="168"/>
        <v>0</v>
      </c>
      <c r="AQ489" s="288">
        <f t="shared" si="168"/>
        <v>0</v>
      </c>
      <c r="AR489" s="288">
        <f t="shared" si="168"/>
        <v>0</v>
      </c>
      <c r="AS489" s="288">
        <f t="shared" si="168"/>
        <v>0</v>
      </c>
      <c r="AT489" s="288">
        <f t="shared" si="168"/>
        <v>0</v>
      </c>
      <c r="AU489" s="288">
        <f t="shared" si="168"/>
        <v>0</v>
      </c>
      <c r="AV489" s="288">
        <f t="shared" si="168"/>
        <v>0</v>
      </c>
      <c r="AW489" s="288">
        <f t="shared" si="168"/>
        <v>0</v>
      </c>
      <c r="AX489" s="288">
        <f t="shared" si="168"/>
        <v>0</v>
      </c>
      <c r="AY489" s="288">
        <f t="shared" si="168"/>
        <v>0</v>
      </c>
      <c r="AZ489" s="288">
        <f t="shared" si="168"/>
        <v>0</v>
      </c>
      <c r="BA489" s="288">
        <f t="shared" si="168"/>
        <v>0</v>
      </c>
      <c r="BB489" s="288">
        <f t="shared" si="168"/>
        <v>0</v>
      </c>
      <c r="BC489" s="288">
        <f t="shared" si="168"/>
        <v>0</v>
      </c>
      <c r="BD489" s="288">
        <f t="shared" si="168"/>
        <v>0</v>
      </c>
      <c r="BE489" s="1305">
        <f t="shared" si="168"/>
        <v>0</v>
      </c>
      <c r="BF489" s="249"/>
    </row>
    <row r="490" spans="2:58" x14ac:dyDescent="0.25">
      <c r="B490" s="277"/>
      <c r="C490" s="278" t="s">
        <v>76</v>
      </c>
      <c r="D490" s="278"/>
      <c r="E490" s="278"/>
      <c r="F490" s="278"/>
      <c r="G490" s="288">
        <f>G477</f>
        <v>0</v>
      </c>
      <c r="H490" s="288">
        <v>0</v>
      </c>
      <c r="I490" s="288">
        <v>0</v>
      </c>
      <c r="J490" s="288">
        <v>0</v>
      </c>
      <c r="K490" s="288">
        <v>0</v>
      </c>
      <c r="L490" s="288">
        <v>0</v>
      </c>
      <c r="M490" s="288">
        <v>0</v>
      </c>
      <c r="N490" s="288">
        <v>0</v>
      </c>
      <c r="O490" s="288">
        <v>0</v>
      </c>
      <c r="P490" s="288">
        <v>0</v>
      </c>
      <c r="Q490" s="288">
        <v>0</v>
      </c>
      <c r="R490" s="288">
        <v>0</v>
      </c>
      <c r="S490" s="288">
        <v>0</v>
      </c>
      <c r="T490" s="288">
        <v>0</v>
      </c>
      <c r="U490" s="288">
        <v>0</v>
      </c>
      <c r="V490" s="288">
        <v>0</v>
      </c>
      <c r="W490" s="288">
        <v>0</v>
      </c>
      <c r="X490" s="288">
        <v>0</v>
      </c>
      <c r="Y490" s="288">
        <v>0</v>
      </c>
      <c r="Z490" s="288">
        <v>0</v>
      </c>
      <c r="AA490" s="288">
        <v>0</v>
      </c>
      <c r="AB490" s="288">
        <v>0</v>
      </c>
      <c r="AC490" s="288">
        <v>0</v>
      </c>
      <c r="AD490" s="288">
        <v>0</v>
      </c>
      <c r="AE490" s="288">
        <v>0</v>
      </c>
      <c r="AF490" s="288">
        <v>0</v>
      </c>
      <c r="AG490" s="288">
        <v>0</v>
      </c>
      <c r="AH490" s="288">
        <v>0</v>
      </c>
      <c r="AI490" s="288">
        <v>0</v>
      </c>
      <c r="AJ490" s="288">
        <v>0</v>
      </c>
      <c r="AK490" s="288">
        <v>0</v>
      </c>
      <c r="AL490" s="288">
        <v>0</v>
      </c>
      <c r="AM490" s="288">
        <v>0</v>
      </c>
      <c r="AN490" s="288">
        <v>0</v>
      </c>
      <c r="AO490" s="288">
        <v>0</v>
      </c>
      <c r="AP490" s="288">
        <v>0</v>
      </c>
      <c r="AQ490" s="288">
        <v>0</v>
      </c>
      <c r="AR490" s="288">
        <v>0</v>
      </c>
      <c r="AS490" s="288">
        <v>0</v>
      </c>
      <c r="AT490" s="288">
        <v>0</v>
      </c>
      <c r="AU490" s="288">
        <v>0</v>
      </c>
      <c r="AV490" s="288">
        <v>0</v>
      </c>
      <c r="AW490" s="288">
        <v>0</v>
      </c>
      <c r="AX490" s="288">
        <v>0</v>
      </c>
      <c r="AY490" s="288">
        <v>0</v>
      </c>
      <c r="AZ490" s="288">
        <v>0</v>
      </c>
      <c r="BA490" s="288">
        <v>0</v>
      </c>
      <c r="BB490" s="288">
        <v>0</v>
      </c>
      <c r="BC490" s="288">
        <v>0</v>
      </c>
      <c r="BD490" s="288">
        <v>0</v>
      </c>
      <c r="BE490" s="1305">
        <v>0</v>
      </c>
      <c r="BF490" s="249"/>
    </row>
    <row r="491" spans="2:58" x14ac:dyDescent="0.25">
      <c r="B491" s="277"/>
      <c r="C491" s="285" t="s">
        <v>77</v>
      </c>
      <c r="D491" s="285"/>
      <c r="E491" s="285"/>
      <c r="F491" s="285"/>
      <c r="G491" s="1306">
        <v>0</v>
      </c>
      <c r="H491" s="1306">
        <f>-H485</f>
        <v>0</v>
      </c>
      <c r="I491" s="1306">
        <f t="shared" ref="I491:BE491" si="169">-I485</f>
        <v>0</v>
      </c>
      <c r="J491" s="1306">
        <f t="shared" si="169"/>
        <v>0</v>
      </c>
      <c r="K491" s="1306">
        <f t="shared" si="169"/>
        <v>0</v>
      </c>
      <c r="L491" s="1306">
        <f t="shared" si="169"/>
        <v>0</v>
      </c>
      <c r="M491" s="1306">
        <f t="shared" si="169"/>
        <v>0</v>
      </c>
      <c r="N491" s="1306">
        <f t="shared" si="169"/>
        <v>0</v>
      </c>
      <c r="O491" s="1306">
        <f t="shared" si="169"/>
        <v>0</v>
      </c>
      <c r="P491" s="1306">
        <f t="shared" si="169"/>
        <v>0</v>
      </c>
      <c r="Q491" s="1306">
        <f t="shared" si="169"/>
        <v>0</v>
      </c>
      <c r="R491" s="1306">
        <f t="shared" si="169"/>
        <v>0</v>
      </c>
      <c r="S491" s="1306">
        <f t="shared" si="169"/>
        <v>0</v>
      </c>
      <c r="T491" s="1306">
        <f t="shared" si="169"/>
        <v>0</v>
      </c>
      <c r="U491" s="1306">
        <f t="shared" si="169"/>
        <v>0</v>
      </c>
      <c r="V491" s="1306">
        <f t="shared" si="169"/>
        <v>0</v>
      </c>
      <c r="W491" s="1306">
        <f t="shared" si="169"/>
        <v>0</v>
      </c>
      <c r="X491" s="1306">
        <f t="shared" si="169"/>
        <v>0</v>
      </c>
      <c r="Y491" s="1306">
        <f t="shared" si="169"/>
        <v>0</v>
      </c>
      <c r="Z491" s="1306">
        <f t="shared" si="169"/>
        <v>0</v>
      </c>
      <c r="AA491" s="1306">
        <f t="shared" si="169"/>
        <v>0</v>
      </c>
      <c r="AB491" s="1306">
        <f t="shared" si="169"/>
        <v>0</v>
      </c>
      <c r="AC491" s="1306">
        <f t="shared" si="169"/>
        <v>0</v>
      </c>
      <c r="AD491" s="1306">
        <f t="shared" si="169"/>
        <v>0</v>
      </c>
      <c r="AE491" s="1306">
        <f t="shared" si="169"/>
        <v>0</v>
      </c>
      <c r="AF491" s="1306">
        <f t="shared" si="169"/>
        <v>0</v>
      </c>
      <c r="AG491" s="1306">
        <f t="shared" si="169"/>
        <v>0</v>
      </c>
      <c r="AH491" s="1306">
        <f t="shared" si="169"/>
        <v>0</v>
      </c>
      <c r="AI491" s="1306">
        <f t="shared" si="169"/>
        <v>0</v>
      </c>
      <c r="AJ491" s="1306">
        <f t="shared" si="169"/>
        <v>0</v>
      </c>
      <c r="AK491" s="1306">
        <f t="shared" si="169"/>
        <v>0</v>
      </c>
      <c r="AL491" s="1306">
        <f t="shared" si="169"/>
        <v>0</v>
      </c>
      <c r="AM491" s="1306">
        <f t="shared" si="169"/>
        <v>0</v>
      </c>
      <c r="AN491" s="1306">
        <f t="shared" si="169"/>
        <v>0</v>
      </c>
      <c r="AO491" s="1306">
        <f t="shared" si="169"/>
        <v>0</v>
      </c>
      <c r="AP491" s="1306">
        <f t="shared" si="169"/>
        <v>0</v>
      </c>
      <c r="AQ491" s="1306">
        <f t="shared" si="169"/>
        <v>0</v>
      </c>
      <c r="AR491" s="1306">
        <f t="shared" si="169"/>
        <v>0</v>
      </c>
      <c r="AS491" s="1306">
        <f t="shared" si="169"/>
        <v>0</v>
      </c>
      <c r="AT491" s="1306">
        <f t="shared" si="169"/>
        <v>0</v>
      </c>
      <c r="AU491" s="1306">
        <f t="shared" si="169"/>
        <v>0</v>
      </c>
      <c r="AV491" s="1306">
        <f t="shared" si="169"/>
        <v>0</v>
      </c>
      <c r="AW491" s="1306">
        <f t="shared" si="169"/>
        <v>0</v>
      </c>
      <c r="AX491" s="1306">
        <f t="shared" si="169"/>
        <v>0</v>
      </c>
      <c r="AY491" s="1306">
        <f t="shared" si="169"/>
        <v>0</v>
      </c>
      <c r="AZ491" s="1306">
        <f t="shared" si="169"/>
        <v>0</v>
      </c>
      <c r="BA491" s="1306">
        <f t="shared" si="169"/>
        <v>0</v>
      </c>
      <c r="BB491" s="1306">
        <f t="shared" si="169"/>
        <v>0</v>
      </c>
      <c r="BC491" s="1306">
        <f t="shared" si="169"/>
        <v>0</v>
      </c>
      <c r="BD491" s="1306">
        <f t="shared" si="169"/>
        <v>0</v>
      </c>
      <c r="BE491" s="1307">
        <f t="shared" si="169"/>
        <v>0</v>
      </c>
      <c r="BF491" s="249"/>
    </row>
    <row r="492" spans="2:58" x14ac:dyDescent="0.25">
      <c r="B492" s="277"/>
      <c r="C492" s="278" t="s">
        <v>66</v>
      </c>
      <c r="D492" s="278"/>
      <c r="E492" s="278"/>
      <c r="F492" s="278"/>
      <c r="G492" s="288">
        <f>SUM(G489:G491)</f>
        <v>0</v>
      </c>
      <c r="H492" s="288">
        <f>SUM(H489:H491)</f>
        <v>0</v>
      </c>
      <c r="I492" s="288">
        <f t="shared" ref="I492:BE492" si="170">SUM(I489:I491)</f>
        <v>0</v>
      </c>
      <c r="J492" s="288">
        <f t="shared" si="170"/>
        <v>0</v>
      </c>
      <c r="K492" s="288">
        <f t="shared" si="170"/>
        <v>0</v>
      </c>
      <c r="L492" s="288">
        <f t="shared" si="170"/>
        <v>0</v>
      </c>
      <c r="M492" s="288">
        <f t="shared" si="170"/>
        <v>0</v>
      </c>
      <c r="N492" s="288">
        <f t="shared" si="170"/>
        <v>0</v>
      </c>
      <c r="O492" s="288">
        <f t="shared" si="170"/>
        <v>0</v>
      </c>
      <c r="P492" s="288">
        <f t="shared" si="170"/>
        <v>0</v>
      </c>
      <c r="Q492" s="288">
        <f t="shared" si="170"/>
        <v>0</v>
      </c>
      <c r="R492" s="288">
        <f t="shared" si="170"/>
        <v>0</v>
      </c>
      <c r="S492" s="288">
        <f t="shared" si="170"/>
        <v>0</v>
      </c>
      <c r="T492" s="288">
        <f t="shared" si="170"/>
        <v>0</v>
      </c>
      <c r="U492" s="288">
        <f t="shared" si="170"/>
        <v>0</v>
      </c>
      <c r="V492" s="288">
        <f t="shared" si="170"/>
        <v>0</v>
      </c>
      <c r="W492" s="288">
        <f t="shared" si="170"/>
        <v>0</v>
      </c>
      <c r="X492" s="288">
        <f t="shared" si="170"/>
        <v>0</v>
      </c>
      <c r="Y492" s="288">
        <f t="shared" si="170"/>
        <v>0</v>
      </c>
      <c r="Z492" s="288">
        <f t="shared" si="170"/>
        <v>0</v>
      </c>
      <c r="AA492" s="288">
        <f t="shared" si="170"/>
        <v>0</v>
      </c>
      <c r="AB492" s="288">
        <f t="shared" si="170"/>
        <v>0</v>
      </c>
      <c r="AC492" s="288">
        <f t="shared" si="170"/>
        <v>0</v>
      </c>
      <c r="AD492" s="288">
        <f t="shared" si="170"/>
        <v>0</v>
      </c>
      <c r="AE492" s="288">
        <f t="shared" si="170"/>
        <v>0</v>
      </c>
      <c r="AF492" s="288">
        <f t="shared" si="170"/>
        <v>0</v>
      </c>
      <c r="AG492" s="288">
        <f t="shared" si="170"/>
        <v>0</v>
      </c>
      <c r="AH492" s="288">
        <f t="shared" si="170"/>
        <v>0</v>
      </c>
      <c r="AI492" s="288">
        <f t="shared" si="170"/>
        <v>0</v>
      </c>
      <c r="AJ492" s="288">
        <f t="shared" si="170"/>
        <v>0</v>
      </c>
      <c r="AK492" s="288">
        <f t="shared" si="170"/>
        <v>0</v>
      </c>
      <c r="AL492" s="288">
        <f t="shared" si="170"/>
        <v>0</v>
      </c>
      <c r="AM492" s="288">
        <f t="shared" si="170"/>
        <v>0</v>
      </c>
      <c r="AN492" s="288">
        <f t="shared" si="170"/>
        <v>0</v>
      </c>
      <c r="AO492" s="288">
        <f t="shared" si="170"/>
        <v>0</v>
      </c>
      <c r="AP492" s="288">
        <f t="shared" si="170"/>
        <v>0</v>
      </c>
      <c r="AQ492" s="288">
        <f t="shared" si="170"/>
        <v>0</v>
      </c>
      <c r="AR492" s="288">
        <f t="shared" si="170"/>
        <v>0</v>
      </c>
      <c r="AS492" s="288">
        <f t="shared" si="170"/>
        <v>0</v>
      </c>
      <c r="AT492" s="288">
        <f t="shared" si="170"/>
        <v>0</v>
      </c>
      <c r="AU492" s="288">
        <f t="shared" si="170"/>
        <v>0</v>
      </c>
      <c r="AV492" s="288">
        <f t="shared" si="170"/>
        <v>0</v>
      </c>
      <c r="AW492" s="288">
        <f t="shared" si="170"/>
        <v>0</v>
      </c>
      <c r="AX492" s="288">
        <f t="shared" si="170"/>
        <v>0</v>
      </c>
      <c r="AY492" s="288">
        <f t="shared" si="170"/>
        <v>0</v>
      </c>
      <c r="AZ492" s="288">
        <f t="shared" si="170"/>
        <v>0</v>
      </c>
      <c r="BA492" s="288">
        <f t="shared" si="170"/>
        <v>0</v>
      </c>
      <c r="BB492" s="288">
        <f t="shared" si="170"/>
        <v>0</v>
      </c>
      <c r="BC492" s="288">
        <f t="shared" si="170"/>
        <v>0</v>
      </c>
      <c r="BD492" s="288">
        <f t="shared" si="170"/>
        <v>0</v>
      </c>
      <c r="BE492" s="1305">
        <f t="shared" si="170"/>
        <v>0</v>
      </c>
      <c r="BF492" s="249"/>
    </row>
    <row r="493" spans="2:58" x14ac:dyDescent="0.25">
      <c r="B493" s="277"/>
      <c r="C493" s="278"/>
      <c r="D493" s="278"/>
      <c r="E493" s="278"/>
      <c r="F493" s="278"/>
      <c r="G493" s="288"/>
      <c r="H493" s="288"/>
      <c r="I493" s="288"/>
      <c r="J493" s="288"/>
      <c r="K493" s="288"/>
      <c r="L493" s="288"/>
      <c r="M493" s="288"/>
      <c r="N493" s="288"/>
      <c r="O493" s="288"/>
      <c r="P493" s="288"/>
      <c r="Q493" s="288"/>
      <c r="R493" s="288"/>
      <c r="S493" s="288"/>
      <c r="T493" s="288"/>
      <c r="U493" s="288"/>
      <c r="V493" s="288"/>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c r="AV493" s="288"/>
      <c r="AW493" s="288"/>
      <c r="AX493" s="288"/>
      <c r="AY493" s="288"/>
      <c r="AZ493" s="288"/>
      <c r="BA493" s="288"/>
      <c r="BB493" s="288"/>
      <c r="BC493" s="288"/>
      <c r="BD493" s="288"/>
      <c r="BE493" s="1305"/>
      <c r="BF493" s="249"/>
    </row>
    <row r="494" spans="2:58" x14ac:dyDescent="0.25">
      <c r="B494" s="277"/>
      <c r="C494" s="396" t="s">
        <v>71</v>
      </c>
      <c r="D494" s="278"/>
      <c r="E494" s="278"/>
      <c r="F494" s="278"/>
      <c r="G494" s="288"/>
      <c r="H494" s="288"/>
      <c r="I494" s="288"/>
      <c r="J494" s="288"/>
      <c r="K494" s="288"/>
      <c r="L494" s="288"/>
      <c r="M494" s="288"/>
      <c r="N494" s="288"/>
      <c r="O494" s="288"/>
      <c r="P494" s="288"/>
      <c r="Q494" s="288"/>
      <c r="R494" s="288"/>
      <c r="S494" s="288"/>
      <c r="T494" s="288"/>
      <c r="U494" s="288"/>
      <c r="V494" s="288"/>
      <c r="W494" s="288"/>
      <c r="X494" s="288"/>
      <c r="Y494" s="288"/>
      <c r="Z494" s="288"/>
      <c r="AA494" s="288"/>
      <c r="AB494" s="288"/>
      <c r="AC494" s="288"/>
      <c r="AD494" s="288"/>
      <c r="AE494" s="288"/>
      <c r="AF494" s="288"/>
      <c r="AG494" s="288"/>
      <c r="AH494" s="288"/>
      <c r="AI494" s="288"/>
      <c r="AJ494" s="288"/>
      <c r="AK494" s="288"/>
      <c r="AL494" s="288"/>
      <c r="AM494" s="288"/>
      <c r="AN494" s="288"/>
      <c r="AO494" s="288"/>
      <c r="AP494" s="288"/>
      <c r="AQ494" s="288"/>
      <c r="AR494" s="288"/>
      <c r="AS494" s="288"/>
      <c r="AT494" s="288"/>
      <c r="AU494" s="288"/>
      <c r="AV494" s="288"/>
      <c r="AW494" s="288"/>
      <c r="AX494" s="288"/>
      <c r="AY494" s="288"/>
      <c r="AZ494" s="288"/>
      <c r="BA494" s="288"/>
      <c r="BB494" s="288"/>
      <c r="BC494" s="288"/>
      <c r="BD494" s="288"/>
      <c r="BE494" s="1305"/>
      <c r="BF494" s="249"/>
    </row>
    <row r="495" spans="2:58" x14ac:dyDescent="0.25">
      <c r="B495" s="277"/>
      <c r="C495" s="278" t="s">
        <v>233</v>
      </c>
      <c r="D495" s="278"/>
      <c r="E495" s="278"/>
      <c r="F495" s="278"/>
      <c r="G495" s="288"/>
      <c r="H495" s="288">
        <f>IF($G477&gt;0, $G477*'II. Inputs, Baseline Energy Mix'!$P$74/10000,0)</f>
        <v>0</v>
      </c>
      <c r="I495" s="288">
        <v>0</v>
      </c>
      <c r="J495" s="288">
        <v>0</v>
      </c>
      <c r="K495" s="288">
        <v>0</v>
      </c>
      <c r="L495" s="288">
        <v>0</v>
      </c>
      <c r="M495" s="288">
        <v>0</v>
      </c>
      <c r="N495" s="288">
        <v>0</v>
      </c>
      <c r="O495" s="288">
        <v>0</v>
      </c>
      <c r="P495" s="288">
        <v>0</v>
      </c>
      <c r="Q495" s="288">
        <v>0</v>
      </c>
      <c r="R495" s="288">
        <v>0</v>
      </c>
      <c r="S495" s="288">
        <v>0</v>
      </c>
      <c r="T495" s="288">
        <v>0</v>
      </c>
      <c r="U495" s="288">
        <v>0</v>
      </c>
      <c r="V495" s="288">
        <v>0</v>
      </c>
      <c r="W495" s="288">
        <v>0</v>
      </c>
      <c r="X495" s="288">
        <v>0</v>
      </c>
      <c r="Y495" s="288">
        <v>0</v>
      </c>
      <c r="Z495" s="288">
        <v>0</v>
      </c>
      <c r="AA495" s="288">
        <v>0</v>
      </c>
      <c r="AB495" s="288">
        <v>0</v>
      </c>
      <c r="AC495" s="288">
        <v>0</v>
      </c>
      <c r="AD495" s="288">
        <v>0</v>
      </c>
      <c r="AE495" s="288">
        <v>0</v>
      </c>
      <c r="AF495" s="288">
        <v>0</v>
      </c>
      <c r="AG495" s="288">
        <v>0</v>
      </c>
      <c r="AH495" s="288">
        <v>0</v>
      </c>
      <c r="AI495" s="288">
        <v>0</v>
      </c>
      <c r="AJ495" s="288">
        <v>0</v>
      </c>
      <c r="AK495" s="288">
        <v>0</v>
      </c>
      <c r="AL495" s="288">
        <v>0</v>
      </c>
      <c r="AM495" s="288">
        <v>0</v>
      </c>
      <c r="AN495" s="288">
        <v>0</v>
      </c>
      <c r="AO495" s="288">
        <v>0</v>
      </c>
      <c r="AP495" s="288">
        <v>0</v>
      </c>
      <c r="AQ495" s="288">
        <v>0</v>
      </c>
      <c r="AR495" s="288">
        <v>0</v>
      </c>
      <c r="AS495" s="288">
        <v>0</v>
      </c>
      <c r="AT495" s="288">
        <v>0</v>
      </c>
      <c r="AU495" s="288">
        <v>0</v>
      </c>
      <c r="AV495" s="288">
        <v>0</v>
      </c>
      <c r="AW495" s="288">
        <v>0</v>
      </c>
      <c r="AX495" s="288">
        <v>0</v>
      </c>
      <c r="AY495" s="288">
        <v>0</v>
      </c>
      <c r="AZ495" s="288">
        <v>0</v>
      </c>
      <c r="BA495" s="288">
        <v>0</v>
      </c>
      <c r="BB495" s="288">
        <v>0</v>
      </c>
      <c r="BC495" s="288">
        <v>0</v>
      </c>
      <c r="BD495" s="288">
        <v>0</v>
      </c>
      <c r="BE495" s="1305">
        <v>0</v>
      </c>
      <c r="BF495" s="249"/>
    </row>
    <row r="496" spans="2:58" x14ac:dyDescent="0.25">
      <c r="B496" s="277"/>
      <c r="C496" s="278" t="str">
        <f>'II. Inputs, Baseline Energy Mix'!$E$77</f>
        <v>Front-end Fee, Public Guarantee</v>
      </c>
      <c r="D496" s="278"/>
      <c r="E496" s="278"/>
      <c r="F496" s="278"/>
      <c r="G496" s="288"/>
      <c r="H496" s="288">
        <f>IF($G477&gt;0, $G477*$G480*'II. Inputs, Baseline Energy Mix'!$P$77/10000,0)</f>
        <v>0</v>
      </c>
      <c r="I496" s="288">
        <v>0</v>
      </c>
      <c r="J496" s="288">
        <v>0</v>
      </c>
      <c r="K496" s="288">
        <v>0</v>
      </c>
      <c r="L496" s="288">
        <v>0</v>
      </c>
      <c r="M496" s="288">
        <v>0</v>
      </c>
      <c r="N496" s="288">
        <v>0</v>
      </c>
      <c r="O496" s="288">
        <v>0</v>
      </c>
      <c r="P496" s="288">
        <v>0</v>
      </c>
      <c r="Q496" s="288">
        <v>0</v>
      </c>
      <c r="R496" s="288">
        <v>0</v>
      </c>
      <c r="S496" s="288">
        <v>0</v>
      </c>
      <c r="T496" s="288">
        <v>0</v>
      </c>
      <c r="U496" s="288">
        <v>0</v>
      </c>
      <c r="V496" s="288">
        <v>0</v>
      </c>
      <c r="W496" s="288">
        <v>0</v>
      </c>
      <c r="X496" s="288">
        <v>0</v>
      </c>
      <c r="Y496" s="288">
        <v>0</v>
      </c>
      <c r="Z496" s="288">
        <v>0</v>
      </c>
      <c r="AA496" s="288">
        <v>0</v>
      </c>
      <c r="AB496" s="288">
        <v>0</v>
      </c>
      <c r="AC496" s="288">
        <v>0</v>
      </c>
      <c r="AD496" s="288">
        <v>0</v>
      </c>
      <c r="AE496" s="288">
        <v>0</v>
      </c>
      <c r="AF496" s="288">
        <v>0</v>
      </c>
      <c r="AG496" s="288">
        <v>0</v>
      </c>
      <c r="AH496" s="288">
        <v>0</v>
      </c>
      <c r="AI496" s="288">
        <v>0</v>
      </c>
      <c r="AJ496" s="288">
        <v>0</v>
      </c>
      <c r="AK496" s="288">
        <v>0</v>
      </c>
      <c r="AL496" s="288">
        <v>0</v>
      </c>
      <c r="AM496" s="288">
        <v>0</v>
      </c>
      <c r="AN496" s="288">
        <v>0</v>
      </c>
      <c r="AO496" s="288">
        <v>0</v>
      </c>
      <c r="AP496" s="288">
        <v>0</v>
      </c>
      <c r="AQ496" s="288">
        <v>0</v>
      </c>
      <c r="AR496" s="288">
        <v>0</v>
      </c>
      <c r="AS496" s="288">
        <v>0</v>
      </c>
      <c r="AT496" s="288">
        <v>0</v>
      </c>
      <c r="AU496" s="288">
        <v>0</v>
      </c>
      <c r="AV496" s="288">
        <v>0</v>
      </c>
      <c r="AW496" s="288">
        <v>0</v>
      </c>
      <c r="AX496" s="288">
        <v>0</v>
      </c>
      <c r="AY496" s="288">
        <v>0</v>
      </c>
      <c r="AZ496" s="288">
        <v>0</v>
      </c>
      <c r="BA496" s="288">
        <v>0</v>
      </c>
      <c r="BB496" s="288">
        <v>0</v>
      </c>
      <c r="BC496" s="288">
        <v>0</v>
      </c>
      <c r="BD496" s="288">
        <v>0</v>
      </c>
      <c r="BE496" s="1305">
        <v>0</v>
      </c>
      <c r="BF496" s="249"/>
    </row>
    <row r="497" spans="2:58" x14ac:dyDescent="0.25">
      <c r="B497" s="277"/>
      <c r="C497" s="278" t="str">
        <f>'II. Inputs, Baseline Energy Mix'!$E$78</f>
        <v xml:space="preserve">Annual Public Guarantee Fee </v>
      </c>
      <c r="D497" s="278"/>
      <c r="E497" s="278"/>
      <c r="F497" s="278"/>
      <c r="G497" s="288"/>
      <c r="H497" s="288">
        <f>IF(H$299&gt;$G481,0,((H489+H492)/2)*$G480*'II. Inputs, Baseline Energy Mix'!$P$78/10000)</f>
        <v>0</v>
      </c>
      <c r="I497" s="288">
        <f>IF(I$299&gt;$G481,0,((I489+I492)/2)*$G480*'II. Inputs, Baseline Energy Mix'!$P$78/10000)</f>
        <v>0</v>
      </c>
      <c r="J497" s="288">
        <f>IF(J$299&gt;$G481,0,((J489+J492)/2)*$G480*'II. Inputs, Baseline Energy Mix'!$P$78/10000)</f>
        <v>0</v>
      </c>
      <c r="K497" s="288">
        <f>IF(K$299&gt;$G481,0,((K489+K492)/2)*$G480*'II. Inputs, Baseline Energy Mix'!$P$78/10000)</f>
        <v>0</v>
      </c>
      <c r="L497" s="288">
        <f>IF(L$299&gt;$G481,0,((L489+L492)/2)*$G480*'II. Inputs, Baseline Energy Mix'!$P$78/10000)</f>
        <v>0</v>
      </c>
      <c r="M497" s="288">
        <f>IF(M$299&gt;$G481,0,((M489+M492)/2)*$G480*'II. Inputs, Baseline Energy Mix'!$P$78/10000)</f>
        <v>0</v>
      </c>
      <c r="N497" s="288">
        <f>IF(N$299&gt;$G481,0,((N489+N492)/2)*$G480*'II. Inputs, Baseline Energy Mix'!$P$78/10000)</f>
        <v>0</v>
      </c>
      <c r="O497" s="288">
        <f>IF(O$299&gt;$G481,0,((O489+O492)/2)*$G480*'II. Inputs, Baseline Energy Mix'!$P$78/10000)</f>
        <v>0</v>
      </c>
      <c r="P497" s="288">
        <f>IF(P$299&gt;$G481,0,((P489+P492)/2)*$G480*'II. Inputs, Baseline Energy Mix'!$P$78/10000)</f>
        <v>0</v>
      </c>
      <c r="Q497" s="288">
        <f>IF(Q$299&gt;$G481,0,((Q489+Q492)/2)*$G480*'II. Inputs, Baseline Energy Mix'!$P$78/10000)</f>
        <v>0</v>
      </c>
      <c r="R497" s="288">
        <f>IF(R$299&gt;$G481,0,((R489+R492)/2)*$G480*'II. Inputs, Baseline Energy Mix'!$P$78/10000)</f>
        <v>0</v>
      </c>
      <c r="S497" s="288">
        <f>IF(S$299&gt;$G481,0,((S489+S492)/2)*$G480*'II. Inputs, Baseline Energy Mix'!$P$78/10000)</f>
        <v>0</v>
      </c>
      <c r="T497" s="288">
        <f>IF(T$299&gt;$G481,0,((T489+T492)/2)*$G480*'II. Inputs, Baseline Energy Mix'!$P$78/10000)</f>
        <v>0</v>
      </c>
      <c r="U497" s="288">
        <f>IF(U$299&gt;$G481,0,((U489+U492)/2)*$G480*'II. Inputs, Baseline Energy Mix'!$P$78/10000)</f>
        <v>0</v>
      </c>
      <c r="V497" s="288">
        <f>IF(V$299&gt;$G481,0,((V489+V492)/2)*$G480*'II. Inputs, Baseline Energy Mix'!$P$78/10000)</f>
        <v>0</v>
      </c>
      <c r="W497" s="288">
        <f>IF(W$299&gt;$G481,0,((W489+W492)/2)*$G480*'II. Inputs, Baseline Energy Mix'!$P$78/10000)</f>
        <v>0</v>
      </c>
      <c r="X497" s="288">
        <f>IF(X$299&gt;$G481,0,((X489+X492)/2)*$G480*'II. Inputs, Baseline Energy Mix'!$P$78/10000)</f>
        <v>0</v>
      </c>
      <c r="Y497" s="288">
        <f>IF(Y$299&gt;$G481,0,((Y489+Y492)/2)*$G480*'II. Inputs, Baseline Energy Mix'!$P$78/10000)</f>
        <v>0</v>
      </c>
      <c r="Z497" s="288">
        <f>IF(Z$299&gt;$G481,0,((Z489+Z492)/2)*$G480*'II. Inputs, Baseline Energy Mix'!$P$78/10000)</f>
        <v>0</v>
      </c>
      <c r="AA497" s="288">
        <f>IF(AA$299&gt;$G481,0,((AA489+AA492)/2)*$G480*'II. Inputs, Baseline Energy Mix'!$P$78/10000)</f>
        <v>0</v>
      </c>
      <c r="AB497" s="288">
        <f>IF(AB$299&gt;$G481,0,((AB489+AB492)/2)*$G480*'II. Inputs, Baseline Energy Mix'!$P$78/10000)</f>
        <v>0</v>
      </c>
      <c r="AC497" s="288">
        <f>IF(AC$299&gt;$G481,0,((AC489+AC492)/2)*$G480*'II. Inputs, Baseline Energy Mix'!$P$78/10000)</f>
        <v>0</v>
      </c>
      <c r="AD497" s="288">
        <f>IF(AD$299&gt;$G481,0,((AD489+AD492)/2)*$G480*'II. Inputs, Baseline Energy Mix'!$P$78/10000)</f>
        <v>0</v>
      </c>
      <c r="AE497" s="288">
        <f>IF(AE$299&gt;$G481,0,((AE489+AE492)/2)*$G480*'II. Inputs, Baseline Energy Mix'!$P$78/10000)</f>
        <v>0</v>
      </c>
      <c r="AF497" s="288">
        <f>IF(AF$299&gt;$G481,0,((AF489+AF492)/2)*$G480*'II. Inputs, Baseline Energy Mix'!$P$78/10000)</f>
        <v>0</v>
      </c>
      <c r="AG497" s="288">
        <f>IF(AG$299&gt;$G481,0,((AG489+AG492)/2)*$G480*'II. Inputs, Baseline Energy Mix'!$P$78/10000)</f>
        <v>0</v>
      </c>
      <c r="AH497" s="288">
        <f>IF(AH$299&gt;$G481,0,((AH489+AH492)/2)*$G480*'II. Inputs, Baseline Energy Mix'!$P$78/10000)</f>
        <v>0</v>
      </c>
      <c r="AI497" s="288">
        <f>IF(AI$299&gt;$G481,0,((AI489+AI492)/2)*$G480*'II. Inputs, Baseline Energy Mix'!$P$78/10000)</f>
        <v>0</v>
      </c>
      <c r="AJ497" s="288">
        <f>IF(AJ$299&gt;$G481,0,((AJ489+AJ492)/2)*$G480*'II. Inputs, Baseline Energy Mix'!$P$78/10000)</f>
        <v>0</v>
      </c>
      <c r="AK497" s="288">
        <f>IF(AK$299&gt;$G481,0,((AK489+AK492)/2)*$G480*'II. Inputs, Baseline Energy Mix'!$P$78/10000)</f>
        <v>0</v>
      </c>
      <c r="AL497" s="288">
        <f>IF(AL$299&gt;$G481,0,((AL489+AL492)/2)*$G480*'II. Inputs, Baseline Energy Mix'!$P$78/10000)</f>
        <v>0</v>
      </c>
      <c r="AM497" s="288">
        <f>IF(AM$299&gt;$G481,0,((AM489+AM492)/2)*$G480*'II. Inputs, Baseline Energy Mix'!$P$78/10000)</f>
        <v>0</v>
      </c>
      <c r="AN497" s="288">
        <f>IF(AN$299&gt;$G481,0,((AN489+AN492)/2)*$G480*'II. Inputs, Baseline Energy Mix'!$P$78/10000)</f>
        <v>0</v>
      </c>
      <c r="AO497" s="288">
        <f>IF(AO$299&gt;$G481,0,((AO489+AO492)/2)*$G480*'II. Inputs, Baseline Energy Mix'!$P$78/10000)</f>
        <v>0</v>
      </c>
      <c r="AP497" s="288">
        <f>IF(AP$299&gt;$G481,0,((AP489+AP492)/2)*$G480*'II. Inputs, Baseline Energy Mix'!$P$78/10000)</f>
        <v>0</v>
      </c>
      <c r="AQ497" s="288">
        <f>IF(AQ$299&gt;$G481,0,((AQ489+AQ492)/2)*$G480*'II. Inputs, Baseline Energy Mix'!$P$78/10000)</f>
        <v>0</v>
      </c>
      <c r="AR497" s="288">
        <f>IF(AR$299&gt;$G481,0,((AR489+AR492)/2)*$G480*'II. Inputs, Baseline Energy Mix'!$P$78/10000)</f>
        <v>0</v>
      </c>
      <c r="AS497" s="288">
        <f>IF(AS$299&gt;$G481,0,((AS489+AS492)/2)*$G480*'II. Inputs, Baseline Energy Mix'!$P$78/10000)</f>
        <v>0</v>
      </c>
      <c r="AT497" s="288">
        <f>IF(AT$299&gt;$G481,0,((AT489+AT492)/2)*$G480*'II. Inputs, Baseline Energy Mix'!$P$78/10000)</f>
        <v>0</v>
      </c>
      <c r="AU497" s="288">
        <f>IF(AU$299&gt;$G481,0,((AU489+AU492)/2)*$G480*'II. Inputs, Baseline Energy Mix'!$P$78/10000)</f>
        <v>0</v>
      </c>
      <c r="AV497" s="288">
        <f>IF(AV$299&gt;$G481,0,((AV489+AV492)/2)*$G480*'II. Inputs, Baseline Energy Mix'!$P$78/10000)</f>
        <v>0</v>
      </c>
      <c r="AW497" s="288">
        <f>IF(AW$299&gt;$G481,0,((AW489+AW492)/2)*$G480*'II. Inputs, Baseline Energy Mix'!$P$78/10000)</f>
        <v>0</v>
      </c>
      <c r="AX497" s="288">
        <f>IF(AX$299&gt;$G481,0,((AX489+AX492)/2)*$G480*'II. Inputs, Baseline Energy Mix'!$P$78/10000)</f>
        <v>0</v>
      </c>
      <c r="AY497" s="288">
        <f>IF(AY$299&gt;$G481,0,((AY489+AY492)/2)*$G480*'II. Inputs, Baseline Energy Mix'!$P$78/10000)</f>
        <v>0</v>
      </c>
      <c r="AZ497" s="288">
        <f>IF(AZ$299&gt;$G481,0,((AZ489+AZ492)/2)*$G480*'II. Inputs, Baseline Energy Mix'!$P$78/10000)</f>
        <v>0</v>
      </c>
      <c r="BA497" s="288">
        <f>IF(BA$299&gt;$G481,0,((BA489+BA492)/2)*$G480*'II. Inputs, Baseline Energy Mix'!$P$78/10000)</f>
        <v>0</v>
      </c>
      <c r="BB497" s="288">
        <f>IF(BB$299&gt;$G481,0,((BB489+BB492)/2)*$G480*'II. Inputs, Baseline Energy Mix'!$P$78/10000)</f>
        <v>0</v>
      </c>
      <c r="BC497" s="288">
        <f>IF(BC$299&gt;$G481,0,((BC489+BC492)/2)*$G480*'II. Inputs, Baseline Energy Mix'!$P$78/10000)</f>
        <v>0</v>
      </c>
      <c r="BD497" s="288">
        <f>IF(BD$299&gt;$G481,0,((BD489+BD492)/2)*$G480*'II. Inputs, Baseline Energy Mix'!$P$78/10000)</f>
        <v>0</v>
      </c>
      <c r="BE497" s="1305">
        <f>IF(BE$299&gt;$G481,0,((BE489+BE492)/2)*$G480*'II. Inputs, Baseline Energy Mix'!$P$78/10000)</f>
        <v>0</v>
      </c>
      <c r="BF497" s="249"/>
    </row>
    <row r="498" spans="2:58" x14ac:dyDescent="0.25">
      <c r="B498" s="277"/>
      <c r="C498" s="278"/>
      <c r="D498" s="278"/>
      <c r="E498" s="278"/>
      <c r="F498" s="278"/>
      <c r="G498" s="278"/>
      <c r="H498" s="278"/>
      <c r="I498" s="278"/>
      <c r="J498" s="278"/>
      <c r="K498" s="278"/>
      <c r="L498" s="278"/>
      <c r="M498" s="278"/>
      <c r="N498" s="278"/>
      <c r="O498" s="278"/>
      <c r="P498" s="278"/>
      <c r="Q498" s="278"/>
      <c r="R498" s="278"/>
      <c r="S498" s="278"/>
      <c r="T498" s="278"/>
      <c r="U498" s="278"/>
      <c r="V498" s="278"/>
      <c r="W498" s="278"/>
      <c r="X498" s="278"/>
      <c r="Y498" s="278"/>
      <c r="Z498" s="278"/>
      <c r="AA498" s="278"/>
      <c r="AB498" s="278"/>
      <c r="AC498" s="278"/>
      <c r="AD498" s="278"/>
      <c r="AE498" s="278"/>
      <c r="AF498" s="278"/>
      <c r="AG498" s="278"/>
      <c r="AH498" s="278"/>
      <c r="AI498" s="278"/>
      <c r="AJ498" s="278"/>
      <c r="AK498" s="278"/>
      <c r="AL498" s="278"/>
      <c r="AM498" s="278"/>
      <c r="AN498" s="278"/>
      <c r="AO498" s="278"/>
      <c r="AP498" s="278"/>
      <c r="AQ498" s="278"/>
      <c r="AR498" s="278"/>
      <c r="AS498" s="278"/>
      <c r="AT498" s="278"/>
      <c r="AU498" s="278"/>
      <c r="AV498" s="278"/>
      <c r="AW498" s="278"/>
      <c r="AX498" s="278"/>
      <c r="AY498" s="278"/>
      <c r="AZ498" s="278"/>
      <c r="BA498" s="278"/>
      <c r="BB498" s="278"/>
      <c r="BC498" s="278"/>
      <c r="BD498" s="278"/>
      <c r="BE498" s="279"/>
    </row>
    <row r="499" spans="2:58" x14ac:dyDescent="0.25">
      <c r="B499" s="289" t="s">
        <v>180</v>
      </c>
      <c r="C499" s="278"/>
      <c r="D499" s="278"/>
      <c r="E499" s="278"/>
      <c r="F499" s="278"/>
      <c r="G499" s="278"/>
      <c r="H499" s="278"/>
      <c r="I499" s="278"/>
      <c r="J499" s="278"/>
      <c r="K499" s="278"/>
      <c r="L499" s="278"/>
      <c r="M499" s="278"/>
      <c r="N499" s="278"/>
      <c r="O499" s="278"/>
      <c r="P499" s="278"/>
      <c r="Q499" s="278"/>
      <c r="R499" s="278"/>
      <c r="S499" s="278"/>
      <c r="T499" s="278"/>
      <c r="U499" s="278"/>
      <c r="V499" s="278"/>
      <c r="W499" s="278"/>
      <c r="X499" s="278"/>
      <c r="Y499" s="278"/>
      <c r="Z499" s="278"/>
      <c r="AA499" s="278"/>
      <c r="AB499" s="278"/>
      <c r="AC499" s="278"/>
      <c r="AD499" s="278"/>
      <c r="AE499" s="278"/>
      <c r="AF499" s="278"/>
      <c r="AG499" s="278"/>
      <c r="AH499" s="278"/>
      <c r="AI499" s="278"/>
      <c r="AJ499" s="278"/>
      <c r="AK499" s="278"/>
      <c r="AL499" s="278"/>
      <c r="AM499" s="278"/>
      <c r="AN499" s="278"/>
      <c r="AO499" s="278"/>
      <c r="AP499" s="278"/>
      <c r="AQ499" s="278"/>
      <c r="AR499" s="278"/>
      <c r="AS499" s="278"/>
      <c r="AT499" s="278"/>
      <c r="AU499" s="278"/>
      <c r="AV499" s="278"/>
      <c r="AW499" s="278"/>
      <c r="AX499" s="278"/>
      <c r="AY499" s="278"/>
      <c r="AZ499" s="278"/>
      <c r="BA499" s="278"/>
      <c r="BB499" s="278"/>
      <c r="BC499" s="278"/>
      <c r="BD499" s="278"/>
      <c r="BE499" s="279"/>
    </row>
    <row r="500" spans="2:58" x14ac:dyDescent="0.25">
      <c r="B500" s="277"/>
      <c r="C500" s="393" t="s">
        <v>68</v>
      </c>
      <c r="D500" s="278"/>
      <c r="E500" s="278"/>
      <c r="F500" s="278"/>
      <c r="G500" s="288">
        <f>IF('II. Inputs, Baseline Energy Mix'!$P$15&gt;0,('II. Inputs, Baseline Energy Mix'!$P$16*'II. Inputs, Baseline Energy Mix'!$P$17*'II. Inputs, Baseline Energy Mix'!$P$30*'II. Inputs, Baseline Energy Mix'!$P$34),0)</f>
        <v>0</v>
      </c>
      <c r="H500" s="278"/>
      <c r="I500" s="278"/>
      <c r="J500" s="278"/>
      <c r="K500" s="278"/>
      <c r="L500" s="278"/>
      <c r="M500" s="278"/>
      <c r="N500" s="278"/>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278"/>
      <c r="AK500" s="278"/>
      <c r="AL500" s="278"/>
      <c r="AM500" s="278"/>
      <c r="AN500" s="278"/>
      <c r="AO500" s="278"/>
      <c r="AP500" s="278"/>
      <c r="AQ500" s="278"/>
      <c r="AR500" s="278"/>
      <c r="AS500" s="278"/>
      <c r="AT500" s="278"/>
      <c r="AU500" s="278"/>
      <c r="AV500" s="278"/>
      <c r="AW500" s="278"/>
      <c r="AX500" s="278"/>
      <c r="AY500" s="278"/>
      <c r="AZ500" s="278"/>
      <c r="BA500" s="278"/>
      <c r="BB500" s="278"/>
      <c r="BC500" s="278"/>
      <c r="BD500" s="278"/>
      <c r="BE500" s="279"/>
    </row>
    <row r="501" spans="2:58" x14ac:dyDescent="0.25">
      <c r="B501" s="277"/>
      <c r="C501" s="393" t="s">
        <v>69</v>
      </c>
      <c r="D501" s="278"/>
      <c r="E501" s="278"/>
      <c r="F501" s="278"/>
      <c r="G501" s="280">
        <f>SUM('II. Inputs, Baseline Energy Mix'!$P$46)</f>
        <v>0</v>
      </c>
      <c r="H501" s="278"/>
      <c r="I501" s="278"/>
      <c r="J501" s="278"/>
      <c r="K501" s="278"/>
      <c r="L501" s="278"/>
      <c r="M501" s="278"/>
      <c r="N501" s="278"/>
      <c r="O501" s="278"/>
      <c r="P501" s="278"/>
      <c r="Q501" s="278"/>
      <c r="R501" s="278"/>
      <c r="S501" s="278"/>
      <c r="T501" s="278"/>
      <c r="U501" s="278"/>
      <c r="V501" s="278"/>
      <c r="W501" s="278"/>
      <c r="X501" s="278"/>
      <c r="Y501" s="278"/>
      <c r="Z501" s="278"/>
      <c r="AA501" s="278"/>
      <c r="AB501" s="278"/>
      <c r="AC501" s="278"/>
      <c r="AD501" s="278"/>
      <c r="AE501" s="278"/>
      <c r="AF501" s="278"/>
      <c r="AG501" s="278"/>
      <c r="AH501" s="278"/>
      <c r="AI501" s="278"/>
      <c r="AJ501" s="278"/>
      <c r="AK501" s="278"/>
      <c r="AL501" s="278"/>
      <c r="AM501" s="278"/>
      <c r="AN501" s="278"/>
      <c r="AO501" s="278"/>
      <c r="AP501" s="278"/>
      <c r="AQ501" s="278"/>
      <c r="AR501" s="278"/>
      <c r="AS501" s="278"/>
      <c r="AT501" s="278"/>
      <c r="AU501" s="278"/>
      <c r="AV501" s="278"/>
      <c r="AW501" s="278"/>
      <c r="AX501" s="278"/>
      <c r="AY501" s="278"/>
      <c r="AZ501" s="278"/>
      <c r="BA501" s="278"/>
      <c r="BB501" s="278"/>
      <c r="BC501" s="278"/>
      <c r="BD501" s="278"/>
      <c r="BE501" s="279"/>
    </row>
    <row r="502" spans="2:58" x14ac:dyDescent="0.25">
      <c r="B502" s="277"/>
      <c r="C502" s="393" t="s">
        <v>70</v>
      </c>
      <c r="D502" s="278"/>
      <c r="E502" s="278"/>
      <c r="F502" s="278"/>
      <c r="G502" s="398">
        <f>SUM('II. Inputs, Baseline Energy Mix'!$P$41)</f>
        <v>8.5000000000000006E-2</v>
      </c>
      <c r="H502" s="278"/>
      <c r="I502" s="278"/>
      <c r="J502" s="278"/>
      <c r="K502" s="278"/>
      <c r="L502" s="278"/>
      <c r="M502" s="278"/>
      <c r="N502" s="278"/>
      <c r="O502" s="278"/>
      <c r="P502" s="278"/>
      <c r="Q502" s="278"/>
      <c r="R502" s="278"/>
      <c r="S502" s="278"/>
      <c r="T502" s="278"/>
      <c r="U502" s="278"/>
      <c r="V502" s="278"/>
      <c r="W502" s="278"/>
      <c r="X502" s="278"/>
      <c r="Y502" s="278"/>
      <c r="Z502" s="278"/>
      <c r="AA502" s="278"/>
      <c r="AB502" s="278"/>
      <c r="AC502" s="278"/>
      <c r="AD502" s="278"/>
      <c r="AE502" s="278"/>
      <c r="AF502" s="278"/>
      <c r="AG502" s="278"/>
      <c r="AH502" s="278"/>
      <c r="AI502" s="278"/>
      <c r="AJ502" s="278"/>
      <c r="AK502" s="278"/>
      <c r="AL502" s="278"/>
      <c r="AM502" s="278"/>
      <c r="AN502" s="278"/>
      <c r="AO502" s="278"/>
      <c r="AP502" s="278"/>
      <c r="AQ502" s="278"/>
      <c r="AR502" s="278"/>
      <c r="AS502" s="278"/>
      <c r="AT502" s="278"/>
      <c r="AU502" s="278"/>
      <c r="AV502" s="278"/>
      <c r="AW502" s="278"/>
      <c r="AX502" s="278"/>
      <c r="AY502" s="278"/>
      <c r="AZ502" s="278"/>
      <c r="BA502" s="278"/>
      <c r="BB502" s="278"/>
      <c r="BC502" s="278"/>
      <c r="BD502" s="278"/>
      <c r="BE502" s="279"/>
    </row>
    <row r="503" spans="2:58" x14ac:dyDescent="0.25">
      <c r="B503" s="277"/>
      <c r="C503" s="278"/>
      <c r="D503" s="278"/>
      <c r="E503" s="278"/>
      <c r="F503" s="278"/>
      <c r="G503" s="278"/>
      <c r="H503" s="278"/>
      <c r="I503" s="278"/>
      <c r="J503" s="278"/>
      <c r="K503" s="278"/>
      <c r="L503" s="278"/>
      <c r="M503" s="278"/>
      <c r="N503" s="278"/>
      <c r="O503" s="278"/>
      <c r="P503" s="278"/>
      <c r="Q503" s="278"/>
      <c r="R503" s="278"/>
      <c r="S503" s="278"/>
      <c r="T503" s="278"/>
      <c r="U503" s="278"/>
      <c r="V503" s="278"/>
      <c r="W503" s="278"/>
      <c r="X503" s="278"/>
      <c r="Y503" s="278"/>
      <c r="Z503" s="278"/>
      <c r="AA503" s="278"/>
      <c r="AB503" s="278"/>
      <c r="AC503" s="278"/>
      <c r="AD503" s="278"/>
      <c r="AE503" s="278"/>
      <c r="AF503" s="278"/>
      <c r="AG503" s="278"/>
      <c r="AH503" s="278"/>
      <c r="AI503" s="278"/>
      <c r="AJ503" s="278"/>
      <c r="AK503" s="278"/>
      <c r="AL503" s="278"/>
      <c r="AM503" s="278"/>
      <c r="AN503" s="278"/>
      <c r="AO503" s="278"/>
      <c r="AP503" s="278"/>
      <c r="AQ503" s="278"/>
      <c r="AR503" s="278"/>
      <c r="AS503" s="278"/>
      <c r="AT503" s="278"/>
      <c r="AU503" s="278"/>
      <c r="AV503" s="278"/>
      <c r="AW503" s="278"/>
      <c r="AX503" s="278"/>
      <c r="AY503" s="278"/>
      <c r="AZ503" s="278"/>
      <c r="BA503" s="278"/>
      <c r="BB503" s="278"/>
      <c r="BC503" s="278"/>
      <c r="BD503" s="278"/>
      <c r="BE503" s="279"/>
    </row>
    <row r="504" spans="2:58" x14ac:dyDescent="0.25">
      <c r="B504" s="277"/>
      <c r="C504" s="395" t="s">
        <v>67</v>
      </c>
      <c r="D504" s="278"/>
      <c r="E504" s="278"/>
      <c r="F504" s="278"/>
      <c r="G504" s="288"/>
      <c r="H504" s="288"/>
      <c r="I504" s="288"/>
      <c r="J504" s="288"/>
      <c r="K504" s="288"/>
      <c r="L504" s="288"/>
      <c r="M504" s="288"/>
      <c r="N504" s="288"/>
      <c r="O504" s="288"/>
      <c r="P504" s="288"/>
      <c r="Q504" s="288"/>
      <c r="R504" s="288"/>
      <c r="S504" s="288"/>
      <c r="T504" s="288"/>
      <c r="U504" s="288"/>
      <c r="V504" s="288"/>
      <c r="W504" s="288"/>
      <c r="X504" s="288"/>
      <c r="Y504" s="288"/>
      <c r="Z504" s="288"/>
      <c r="AA504" s="288"/>
      <c r="AB504" s="288"/>
      <c r="AC504" s="288"/>
      <c r="AD504" s="288"/>
      <c r="AE504" s="288"/>
      <c r="AF504" s="288"/>
      <c r="AG504" s="288"/>
      <c r="AH504" s="288"/>
      <c r="AI504" s="288"/>
      <c r="AJ504" s="288"/>
      <c r="AK504" s="288"/>
      <c r="AL504" s="288"/>
      <c r="AM504" s="288"/>
      <c r="AN504" s="288"/>
      <c r="AO504" s="288"/>
      <c r="AP504" s="288"/>
      <c r="AQ504" s="288"/>
      <c r="AR504" s="288"/>
      <c r="AS504" s="288"/>
      <c r="AT504" s="288"/>
      <c r="AU504" s="288"/>
      <c r="AV504" s="288"/>
      <c r="AW504" s="288"/>
      <c r="AX504" s="288"/>
      <c r="AY504" s="288"/>
      <c r="AZ504" s="288"/>
      <c r="BA504" s="288"/>
      <c r="BB504" s="288"/>
      <c r="BC504" s="288"/>
      <c r="BD504" s="288"/>
      <c r="BE504" s="1305"/>
      <c r="BF504" s="249"/>
    </row>
    <row r="505" spans="2:58" x14ac:dyDescent="0.25">
      <c r="B505" s="277"/>
      <c r="C505" s="278" t="s">
        <v>73</v>
      </c>
      <c r="D505" s="278"/>
      <c r="E505" s="278"/>
      <c r="F505" s="278"/>
      <c r="G505" s="288"/>
      <c r="H505" s="288">
        <f>IF(H$299&gt;$G501,0,IPMT($G502,H$299,$G501,-$G500))</f>
        <v>0</v>
      </c>
      <c r="I505" s="288">
        <f t="shared" ref="I505:BE505" si="171">IF(I$299&gt;$G501,0,IPMT($G502,I$299,$G501,-$G500))</f>
        <v>0</v>
      </c>
      <c r="J505" s="288">
        <f t="shared" si="171"/>
        <v>0</v>
      </c>
      <c r="K505" s="288">
        <f t="shared" si="171"/>
        <v>0</v>
      </c>
      <c r="L505" s="288">
        <f t="shared" si="171"/>
        <v>0</v>
      </c>
      <c r="M505" s="288">
        <f t="shared" si="171"/>
        <v>0</v>
      </c>
      <c r="N505" s="288">
        <f t="shared" si="171"/>
        <v>0</v>
      </c>
      <c r="O505" s="288">
        <f t="shared" si="171"/>
        <v>0</v>
      </c>
      <c r="P505" s="288">
        <f t="shared" si="171"/>
        <v>0</v>
      </c>
      <c r="Q505" s="288">
        <f t="shared" si="171"/>
        <v>0</v>
      </c>
      <c r="R505" s="288">
        <f t="shared" si="171"/>
        <v>0</v>
      </c>
      <c r="S505" s="288">
        <f t="shared" si="171"/>
        <v>0</v>
      </c>
      <c r="T505" s="288">
        <f t="shared" si="171"/>
        <v>0</v>
      </c>
      <c r="U505" s="288">
        <f t="shared" si="171"/>
        <v>0</v>
      </c>
      <c r="V505" s="288">
        <f t="shared" si="171"/>
        <v>0</v>
      </c>
      <c r="W505" s="288">
        <f t="shared" si="171"/>
        <v>0</v>
      </c>
      <c r="X505" s="288">
        <f t="shared" si="171"/>
        <v>0</v>
      </c>
      <c r="Y505" s="288">
        <f t="shared" si="171"/>
        <v>0</v>
      </c>
      <c r="Z505" s="288">
        <f t="shared" si="171"/>
        <v>0</v>
      </c>
      <c r="AA505" s="288">
        <f t="shared" si="171"/>
        <v>0</v>
      </c>
      <c r="AB505" s="288">
        <f t="shared" si="171"/>
        <v>0</v>
      </c>
      <c r="AC505" s="288">
        <f t="shared" si="171"/>
        <v>0</v>
      </c>
      <c r="AD505" s="288">
        <f t="shared" si="171"/>
        <v>0</v>
      </c>
      <c r="AE505" s="288">
        <f t="shared" si="171"/>
        <v>0</v>
      </c>
      <c r="AF505" s="288">
        <f t="shared" si="171"/>
        <v>0</v>
      </c>
      <c r="AG505" s="288">
        <f t="shared" si="171"/>
        <v>0</v>
      </c>
      <c r="AH505" s="288">
        <f t="shared" si="171"/>
        <v>0</v>
      </c>
      <c r="AI505" s="288">
        <f t="shared" si="171"/>
        <v>0</v>
      </c>
      <c r="AJ505" s="288">
        <f t="shared" si="171"/>
        <v>0</v>
      </c>
      <c r="AK505" s="288">
        <f t="shared" si="171"/>
        <v>0</v>
      </c>
      <c r="AL505" s="288">
        <f t="shared" si="171"/>
        <v>0</v>
      </c>
      <c r="AM505" s="288">
        <f t="shared" si="171"/>
        <v>0</v>
      </c>
      <c r="AN505" s="288">
        <f t="shared" si="171"/>
        <v>0</v>
      </c>
      <c r="AO505" s="288">
        <f t="shared" si="171"/>
        <v>0</v>
      </c>
      <c r="AP505" s="288">
        <f t="shared" si="171"/>
        <v>0</v>
      </c>
      <c r="AQ505" s="288">
        <f t="shared" si="171"/>
        <v>0</v>
      </c>
      <c r="AR505" s="288">
        <f t="shared" si="171"/>
        <v>0</v>
      </c>
      <c r="AS505" s="288">
        <f t="shared" si="171"/>
        <v>0</v>
      </c>
      <c r="AT505" s="288">
        <f t="shared" si="171"/>
        <v>0</v>
      </c>
      <c r="AU505" s="288">
        <f t="shared" si="171"/>
        <v>0</v>
      </c>
      <c r="AV505" s="288">
        <f t="shared" si="171"/>
        <v>0</v>
      </c>
      <c r="AW505" s="288">
        <f t="shared" si="171"/>
        <v>0</v>
      </c>
      <c r="AX505" s="288">
        <f t="shared" si="171"/>
        <v>0</v>
      </c>
      <c r="AY505" s="288">
        <f t="shared" si="171"/>
        <v>0</v>
      </c>
      <c r="AZ505" s="288">
        <f t="shared" si="171"/>
        <v>0</v>
      </c>
      <c r="BA505" s="288">
        <f t="shared" si="171"/>
        <v>0</v>
      </c>
      <c r="BB505" s="288">
        <f t="shared" si="171"/>
        <v>0</v>
      </c>
      <c r="BC505" s="288">
        <f t="shared" si="171"/>
        <v>0</v>
      </c>
      <c r="BD505" s="288">
        <f t="shared" si="171"/>
        <v>0</v>
      </c>
      <c r="BE505" s="1305">
        <f t="shared" si="171"/>
        <v>0</v>
      </c>
      <c r="BF505" s="249"/>
    </row>
    <row r="506" spans="2:58" x14ac:dyDescent="0.25">
      <c r="B506" s="277"/>
      <c r="C506" s="285" t="s">
        <v>72</v>
      </c>
      <c r="D506" s="285"/>
      <c r="E506" s="285"/>
      <c r="F506" s="285"/>
      <c r="G506" s="1306"/>
      <c r="H506" s="1306">
        <f>IF(H$299&gt;$G501,0,PPMT($G502,H$299,$G501,-$G500))</f>
        <v>0</v>
      </c>
      <c r="I506" s="1306">
        <f t="shared" ref="I506:BE506" si="172">IF(I$299&gt;$G501,0,PPMT($G502,I$299,$G501,-$G500))</f>
        <v>0</v>
      </c>
      <c r="J506" s="1306">
        <f t="shared" si="172"/>
        <v>0</v>
      </c>
      <c r="K506" s="1306">
        <f t="shared" si="172"/>
        <v>0</v>
      </c>
      <c r="L506" s="1306">
        <f t="shared" si="172"/>
        <v>0</v>
      </c>
      <c r="M506" s="1306">
        <f t="shared" si="172"/>
        <v>0</v>
      </c>
      <c r="N506" s="1306">
        <f t="shared" si="172"/>
        <v>0</v>
      </c>
      <c r="O506" s="1306">
        <f t="shared" si="172"/>
        <v>0</v>
      </c>
      <c r="P506" s="1306">
        <f t="shared" si="172"/>
        <v>0</v>
      </c>
      <c r="Q506" s="1306">
        <f t="shared" si="172"/>
        <v>0</v>
      </c>
      <c r="R506" s="1306">
        <f t="shared" si="172"/>
        <v>0</v>
      </c>
      <c r="S506" s="1306">
        <f t="shared" si="172"/>
        <v>0</v>
      </c>
      <c r="T506" s="1306">
        <f t="shared" si="172"/>
        <v>0</v>
      </c>
      <c r="U506" s="1306">
        <f t="shared" si="172"/>
        <v>0</v>
      </c>
      <c r="V506" s="1306">
        <f t="shared" si="172"/>
        <v>0</v>
      </c>
      <c r="W506" s="1306">
        <f t="shared" si="172"/>
        <v>0</v>
      </c>
      <c r="X506" s="1306">
        <f t="shared" si="172"/>
        <v>0</v>
      </c>
      <c r="Y506" s="1306">
        <f t="shared" si="172"/>
        <v>0</v>
      </c>
      <c r="Z506" s="1306">
        <f t="shared" si="172"/>
        <v>0</v>
      </c>
      <c r="AA506" s="1306">
        <f t="shared" si="172"/>
        <v>0</v>
      </c>
      <c r="AB506" s="1306">
        <f t="shared" si="172"/>
        <v>0</v>
      </c>
      <c r="AC506" s="1306">
        <f t="shared" si="172"/>
        <v>0</v>
      </c>
      <c r="AD506" s="1306">
        <f t="shared" si="172"/>
        <v>0</v>
      </c>
      <c r="AE506" s="1306">
        <f t="shared" si="172"/>
        <v>0</v>
      </c>
      <c r="AF506" s="1306">
        <f t="shared" si="172"/>
        <v>0</v>
      </c>
      <c r="AG506" s="1306">
        <f t="shared" si="172"/>
        <v>0</v>
      </c>
      <c r="AH506" s="1306">
        <f t="shared" si="172"/>
        <v>0</v>
      </c>
      <c r="AI506" s="1306">
        <f t="shared" si="172"/>
        <v>0</v>
      </c>
      <c r="AJ506" s="1306">
        <f t="shared" si="172"/>
        <v>0</v>
      </c>
      <c r="AK506" s="1306">
        <f t="shared" si="172"/>
        <v>0</v>
      </c>
      <c r="AL506" s="1306">
        <f t="shared" si="172"/>
        <v>0</v>
      </c>
      <c r="AM506" s="1306">
        <f t="shared" si="172"/>
        <v>0</v>
      </c>
      <c r="AN506" s="1306">
        <f t="shared" si="172"/>
        <v>0</v>
      </c>
      <c r="AO506" s="1306">
        <f t="shared" si="172"/>
        <v>0</v>
      </c>
      <c r="AP506" s="1306">
        <f t="shared" si="172"/>
        <v>0</v>
      </c>
      <c r="AQ506" s="1306">
        <f t="shared" si="172"/>
        <v>0</v>
      </c>
      <c r="AR506" s="1306">
        <f t="shared" si="172"/>
        <v>0</v>
      </c>
      <c r="AS506" s="1306">
        <f t="shared" si="172"/>
        <v>0</v>
      </c>
      <c r="AT506" s="1306">
        <f t="shared" si="172"/>
        <v>0</v>
      </c>
      <c r="AU506" s="1306">
        <f t="shared" si="172"/>
        <v>0</v>
      </c>
      <c r="AV506" s="1306">
        <f t="shared" si="172"/>
        <v>0</v>
      </c>
      <c r="AW506" s="1306">
        <f t="shared" si="172"/>
        <v>0</v>
      </c>
      <c r="AX506" s="1306">
        <f t="shared" si="172"/>
        <v>0</v>
      </c>
      <c r="AY506" s="1306">
        <f t="shared" si="172"/>
        <v>0</v>
      </c>
      <c r="AZ506" s="1306">
        <f t="shared" si="172"/>
        <v>0</v>
      </c>
      <c r="BA506" s="1306">
        <f t="shared" si="172"/>
        <v>0</v>
      </c>
      <c r="BB506" s="1306">
        <f t="shared" si="172"/>
        <v>0</v>
      </c>
      <c r="BC506" s="1306">
        <f t="shared" si="172"/>
        <v>0</v>
      </c>
      <c r="BD506" s="1306">
        <f t="shared" si="172"/>
        <v>0</v>
      </c>
      <c r="BE506" s="1307">
        <f t="shared" si="172"/>
        <v>0</v>
      </c>
      <c r="BF506" s="249"/>
    </row>
    <row r="507" spans="2:58" x14ac:dyDescent="0.25">
      <c r="B507" s="277"/>
      <c r="C507" s="278" t="s">
        <v>74</v>
      </c>
      <c r="D507" s="278"/>
      <c r="E507" s="278"/>
      <c r="F507" s="278"/>
      <c r="G507" s="288"/>
      <c r="H507" s="288">
        <f>SUM(H505:H506)</f>
        <v>0</v>
      </c>
      <c r="I507" s="288">
        <f t="shared" ref="I507:BE507" si="173">SUM(I505:I506)</f>
        <v>0</v>
      </c>
      <c r="J507" s="288">
        <f t="shared" si="173"/>
        <v>0</v>
      </c>
      <c r="K507" s="288">
        <f t="shared" si="173"/>
        <v>0</v>
      </c>
      <c r="L507" s="288">
        <f t="shared" si="173"/>
        <v>0</v>
      </c>
      <c r="M507" s="288">
        <f t="shared" si="173"/>
        <v>0</v>
      </c>
      <c r="N507" s="288">
        <f t="shared" si="173"/>
        <v>0</v>
      </c>
      <c r="O507" s="288">
        <f t="shared" si="173"/>
        <v>0</v>
      </c>
      <c r="P507" s="288">
        <f t="shared" si="173"/>
        <v>0</v>
      </c>
      <c r="Q507" s="288">
        <f t="shared" si="173"/>
        <v>0</v>
      </c>
      <c r="R507" s="288">
        <f t="shared" si="173"/>
        <v>0</v>
      </c>
      <c r="S507" s="288">
        <f t="shared" si="173"/>
        <v>0</v>
      </c>
      <c r="T507" s="288">
        <f t="shared" si="173"/>
        <v>0</v>
      </c>
      <c r="U507" s="288">
        <f t="shared" si="173"/>
        <v>0</v>
      </c>
      <c r="V507" s="288">
        <f t="shared" si="173"/>
        <v>0</v>
      </c>
      <c r="W507" s="288">
        <f t="shared" si="173"/>
        <v>0</v>
      </c>
      <c r="X507" s="288">
        <f t="shared" si="173"/>
        <v>0</v>
      </c>
      <c r="Y507" s="288">
        <f t="shared" si="173"/>
        <v>0</v>
      </c>
      <c r="Z507" s="288">
        <f t="shared" si="173"/>
        <v>0</v>
      </c>
      <c r="AA507" s="288">
        <f t="shared" si="173"/>
        <v>0</v>
      </c>
      <c r="AB507" s="288">
        <f t="shared" si="173"/>
        <v>0</v>
      </c>
      <c r="AC507" s="288">
        <f t="shared" si="173"/>
        <v>0</v>
      </c>
      <c r="AD507" s="288">
        <f t="shared" si="173"/>
        <v>0</v>
      </c>
      <c r="AE507" s="288">
        <f t="shared" si="173"/>
        <v>0</v>
      </c>
      <c r="AF507" s="288">
        <f t="shared" si="173"/>
        <v>0</v>
      </c>
      <c r="AG507" s="288">
        <f t="shared" si="173"/>
        <v>0</v>
      </c>
      <c r="AH507" s="288">
        <f t="shared" si="173"/>
        <v>0</v>
      </c>
      <c r="AI507" s="288">
        <f t="shared" si="173"/>
        <v>0</v>
      </c>
      <c r="AJ507" s="288">
        <f t="shared" si="173"/>
        <v>0</v>
      </c>
      <c r="AK507" s="288">
        <f t="shared" si="173"/>
        <v>0</v>
      </c>
      <c r="AL507" s="288">
        <f t="shared" si="173"/>
        <v>0</v>
      </c>
      <c r="AM507" s="288">
        <f t="shared" si="173"/>
        <v>0</v>
      </c>
      <c r="AN507" s="288">
        <f t="shared" si="173"/>
        <v>0</v>
      </c>
      <c r="AO507" s="288">
        <f t="shared" si="173"/>
        <v>0</v>
      </c>
      <c r="AP507" s="288">
        <f t="shared" si="173"/>
        <v>0</v>
      </c>
      <c r="AQ507" s="288">
        <f t="shared" si="173"/>
        <v>0</v>
      </c>
      <c r="AR507" s="288">
        <f t="shared" si="173"/>
        <v>0</v>
      </c>
      <c r="AS507" s="288">
        <f t="shared" si="173"/>
        <v>0</v>
      </c>
      <c r="AT507" s="288">
        <f t="shared" si="173"/>
        <v>0</v>
      </c>
      <c r="AU507" s="288">
        <f t="shared" si="173"/>
        <v>0</v>
      </c>
      <c r="AV507" s="288">
        <f t="shared" si="173"/>
        <v>0</v>
      </c>
      <c r="AW507" s="288">
        <f t="shared" si="173"/>
        <v>0</v>
      </c>
      <c r="AX507" s="288">
        <f t="shared" si="173"/>
        <v>0</v>
      </c>
      <c r="AY507" s="288">
        <f t="shared" si="173"/>
        <v>0</v>
      </c>
      <c r="AZ507" s="288">
        <f t="shared" si="173"/>
        <v>0</v>
      </c>
      <c r="BA507" s="288">
        <f t="shared" si="173"/>
        <v>0</v>
      </c>
      <c r="BB507" s="288">
        <f t="shared" si="173"/>
        <v>0</v>
      </c>
      <c r="BC507" s="288">
        <f t="shared" si="173"/>
        <v>0</v>
      </c>
      <c r="BD507" s="288">
        <f t="shared" si="173"/>
        <v>0</v>
      </c>
      <c r="BE507" s="1305">
        <f t="shared" si="173"/>
        <v>0</v>
      </c>
      <c r="BF507" s="249"/>
    </row>
    <row r="508" spans="2:58" x14ac:dyDescent="0.25">
      <c r="B508" s="277"/>
      <c r="C508" s="278"/>
      <c r="D508" s="278"/>
      <c r="E508" s="278"/>
      <c r="F508" s="278"/>
      <c r="G508" s="288"/>
      <c r="H508" s="288"/>
      <c r="I508" s="288"/>
      <c r="J508" s="288"/>
      <c r="K508" s="288"/>
      <c r="L508" s="288"/>
      <c r="M508" s="288"/>
      <c r="N508" s="288"/>
      <c r="O508" s="288"/>
      <c r="P508" s="288"/>
      <c r="Q508" s="288"/>
      <c r="R508" s="288"/>
      <c r="S508" s="288"/>
      <c r="T508" s="288"/>
      <c r="U508" s="288"/>
      <c r="V508" s="288"/>
      <c r="W508" s="288"/>
      <c r="X508" s="288"/>
      <c r="Y508" s="288"/>
      <c r="Z508" s="288"/>
      <c r="AA508" s="288"/>
      <c r="AB508" s="288"/>
      <c r="AC508" s="288"/>
      <c r="AD508" s="288"/>
      <c r="AE508" s="288"/>
      <c r="AF508" s="288"/>
      <c r="AG508" s="288"/>
      <c r="AH508" s="288"/>
      <c r="AI508" s="288"/>
      <c r="AJ508" s="288"/>
      <c r="AK508" s="288"/>
      <c r="AL508" s="288"/>
      <c r="AM508" s="288"/>
      <c r="AN508" s="288"/>
      <c r="AO508" s="288"/>
      <c r="AP508" s="288"/>
      <c r="AQ508" s="288"/>
      <c r="AR508" s="288"/>
      <c r="AS508" s="288"/>
      <c r="AT508" s="288"/>
      <c r="AU508" s="288"/>
      <c r="AV508" s="288"/>
      <c r="AW508" s="288"/>
      <c r="AX508" s="288"/>
      <c r="AY508" s="288"/>
      <c r="AZ508" s="288"/>
      <c r="BA508" s="288"/>
      <c r="BB508" s="288"/>
      <c r="BC508" s="288"/>
      <c r="BD508" s="288"/>
      <c r="BE508" s="1305"/>
      <c r="BF508" s="249"/>
    </row>
    <row r="509" spans="2:58" x14ac:dyDescent="0.25">
      <c r="B509" s="277"/>
      <c r="C509" s="396" t="s">
        <v>65</v>
      </c>
      <c r="D509" s="278"/>
      <c r="E509" s="278"/>
      <c r="F509" s="27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288"/>
      <c r="AN509" s="288"/>
      <c r="AO509" s="288"/>
      <c r="AP509" s="288"/>
      <c r="AQ509" s="288"/>
      <c r="AR509" s="288"/>
      <c r="AS509" s="288"/>
      <c r="AT509" s="288"/>
      <c r="AU509" s="288"/>
      <c r="AV509" s="288"/>
      <c r="AW509" s="288"/>
      <c r="AX509" s="288"/>
      <c r="AY509" s="288"/>
      <c r="AZ509" s="288"/>
      <c r="BA509" s="288"/>
      <c r="BB509" s="288"/>
      <c r="BC509" s="288"/>
      <c r="BD509" s="288"/>
      <c r="BE509" s="1305"/>
      <c r="BF509" s="249"/>
    </row>
    <row r="510" spans="2:58" x14ac:dyDescent="0.25">
      <c r="B510" s="277"/>
      <c r="C510" s="278" t="s">
        <v>75</v>
      </c>
      <c r="D510" s="278"/>
      <c r="E510" s="278"/>
      <c r="F510" s="278"/>
      <c r="G510" s="288">
        <v>0</v>
      </c>
      <c r="H510" s="288">
        <f t="shared" ref="H510:AM510" si="174">G513</f>
        <v>0</v>
      </c>
      <c r="I510" s="288">
        <f t="shared" si="174"/>
        <v>0</v>
      </c>
      <c r="J510" s="288">
        <f t="shared" si="174"/>
        <v>0</v>
      </c>
      <c r="K510" s="288">
        <f t="shared" si="174"/>
        <v>0</v>
      </c>
      <c r="L510" s="288">
        <f t="shared" si="174"/>
        <v>0</v>
      </c>
      <c r="M510" s="288">
        <f t="shared" si="174"/>
        <v>0</v>
      </c>
      <c r="N510" s="288">
        <f t="shared" si="174"/>
        <v>0</v>
      </c>
      <c r="O510" s="288">
        <f t="shared" si="174"/>
        <v>0</v>
      </c>
      <c r="P510" s="288">
        <f t="shared" si="174"/>
        <v>0</v>
      </c>
      <c r="Q510" s="288">
        <f t="shared" si="174"/>
        <v>0</v>
      </c>
      <c r="R510" s="288">
        <f t="shared" si="174"/>
        <v>0</v>
      </c>
      <c r="S510" s="288">
        <f t="shared" si="174"/>
        <v>0</v>
      </c>
      <c r="T510" s="288">
        <f t="shared" si="174"/>
        <v>0</v>
      </c>
      <c r="U510" s="288">
        <f t="shared" si="174"/>
        <v>0</v>
      </c>
      <c r="V510" s="288">
        <f t="shared" si="174"/>
        <v>0</v>
      </c>
      <c r="W510" s="288">
        <f t="shared" si="174"/>
        <v>0</v>
      </c>
      <c r="X510" s="288">
        <f t="shared" si="174"/>
        <v>0</v>
      </c>
      <c r="Y510" s="288">
        <f t="shared" si="174"/>
        <v>0</v>
      </c>
      <c r="Z510" s="288">
        <f t="shared" si="174"/>
        <v>0</v>
      </c>
      <c r="AA510" s="288">
        <f t="shared" si="174"/>
        <v>0</v>
      </c>
      <c r="AB510" s="288">
        <f t="shared" si="174"/>
        <v>0</v>
      </c>
      <c r="AC510" s="288">
        <f t="shared" si="174"/>
        <v>0</v>
      </c>
      <c r="AD510" s="288">
        <f t="shared" si="174"/>
        <v>0</v>
      </c>
      <c r="AE510" s="288">
        <f t="shared" si="174"/>
        <v>0</v>
      </c>
      <c r="AF510" s="288">
        <f t="shared" si="174"/>
        <v>0</v>
      </c>
      <c r="AG510" s="288">
        <f t="shared" si="174"/>
        <v>0</v>
      </c>
      <c r="AH510" s="288">
        <f t="shared" si="174"/>
        <v>0</v>
      </c>
      <c r="AI510" s="288">
        <f t="shared" si="174"/>
        <v>0</v>
      </c>
      <c r="AJ510" s="288">
        <f t="shared" si="174"/>
        <v>0</v>
      </c>
      <c r="AK510" s="288">
        <f t="shared" si="174"/>
        <v>0</v>
      </c>
      <c r="AL510" s="288">
        <f t="shared" si="174"/>
        <v>0</v>
      </c>
      <c r="AM510" s="288">
        <f t="shared" si="174"/>
        <v>0</v>
      </c>
      <c r="AN510" s="288">
        <f t="shared" ref="AN510:BE510" si="175">AM513</f>
        <v>0</v>
      </c>
      <c r="AO510" s="288">
        <f t="shared" si="175"/>
        <v>0</v>
      </c>
      <c r="AP510" s="288">
        <f t="shared" si="175"/>
        <v>0</v>
      </c>
      <c r="AQ510" s="288">
        <f t="shared" si="175"/>
        <v>0</v>
      </c>
      <c r="AR510" s="288">
        <f t="shared" si="175"/>
        <v>0</v>
      </c>
      <c r="AS510" s="288">
        <f t="shared" si="175"/>
        <v>0</v>
      </c>
      <c r="AT510" s="288">
        <f t="shared" si="175"/>
        <v>0</v>
      </c>
      <c r="AU510" s="288">
        <f t="shared" si="175"/>
        <v>0</v>
      </c>
      <c r="AV510" s="288">
        <f t="shared" si="175"/>
        <v>0</v>
      </c>
      <c r="AW510" s="288">
        <f t="shared" si="175"/>
        <v>0</v>
      </c>
      <c r="AX510" s="288">
        <f t="shared" si="175"/>
        <v>0</v>
      </c>
      <c r="AY510" s="288">
        <f t="shared" si="175"/>
        <v>0</v>
      </c>
      <c r="AZ510" s="288">
        <f t="shared" si="175"/>
        <v>0</v>
      </c>
      <c r="BA510" s="288">
        <f t="shared" si="175"/>
        <v>0</v>
      </c>
      <c r="BB510" s="288">
        <f t="shared" si="175"/>
        <v>0</v>
      </c>
      <c r="BC510" s="288">
        <f t="shared" si="175"/>
        <v>0</v>
      </c>
      <c r="BD510" s="288">
        <f t="shared" si="175"/>
        <v>0</v>
      </c>
      <c r="BE510" s="1305">
        <f t="shared" si="175"/>
        <v>0</v>
      </c>
      <c r="BF510" s="249"/>
    </row>
    <row r="511" spans="2:58" x14ac:dyDescent="0.25">
      <c r="B511" s="277"/>
      <c r="C511" s="278" t="s">
        <v>76</v>
      </c>
      <c r="D511" s="278"/>
      <c r="E511" s="278"/>
      <c r="F511" s="278"/>
      <c r="G511" s="288">
        <f>G500</f>
        <v>0</v>
      </c>
      <c r="H511" s="288">
        <v>0</v>
      </c>
      <c r="I511" s="288">
        <v>0</v>
      </c>
      <c r="J511" s="288">
        <v>0</v>
      </c>
      <c r="K511" s="288">
        <v>0</v>
      </c>
      <c r="L511" s="288">
        <v>0</v>
      </c>
      <c r="M511" s="288">
        <v>0</v>
      </c>
      <c r="N511" s="288">
        <v>0</v>
      </c>
      <c r="O511" s="288">
        <v>0</v>
      </c>
      <c r="P511" s="288">
        <v>0</v>
      </c>
      <c r="Q511" s="288">
        <v>0</v>
      </c>
      <c r="R511" s="288">
        <v>0</v>
      </c>
      <c r="S511" s="288">
        <v>0</v>
      </c>
      <c r="T511" s="288">
        <v>0</v>
      </c>
      <c r="U511" s="288">
        <v>0</v>
      </c>
      <c r="V511" s="288">
        <v>0</v>
      </c>
      <c r="W511" s="288">
        <v>0</v>
      </c>
      <c r="X511" s="288">
        <v>0</v>
      </c>
      <c r="Y511" s="288">
        <v>0</v>
      </c>
      <c r="Z511" s="288">
        <v>0</v>
      </c>
      <c r="AA511" s="288">
        <v>0</v>
      </c>
      <c r="AB511" s="288">
        <v>0</v>
      </c>
      <c r="AC511" s="288">
        <v>0</v>
      </c>
      <c r="AD511" s="288">
        <v>0</v>
      </c>
      <c r="AE511" s="288">
        <v>0</v>
      </c>
      <c r="AF511" s="288">
        <v>0</v>
      </c>
      <c r="AG511" s="288">
        <v>0</v>
      </c>
      <c r="AH511" s="288">
        <v>0</v>
      </c>
      <c r="AI511" s="288">
        <v>0</v>
      </c>
      <c r="AJ511" s="288">
        <v>0</v>
      </c>
      <c r="AK511" s="288">
        <v>0</v>
      </c>
      <c r="AL511" s="288">
        <v>0</v>
      </c>
      <c r="AM511" s="288">
        <v>0</v>
      </c>
      <c r="AN511" s="288">
        <v>0</v>
      </c>
      <c r="AO511" s="288">
        <v>0</v>
      </c>
      <c r="AP511" s="288">
        <v>0</v>
      </c>
      <c r="AQ511" s="288">
        <v>0</v>
      </c>
      <c r="AR511" s="288">
        <v>0</v>
      </c>
      <c r="AS511" s="288">
        <v>0</v>
      </c>
      <c r="AT511" s="288">
        <v>0</v>
      </c>
      <c r="AU511" s="288">
        <v>0</v>
      </c>
      <c r="AV511" s="288">
        <v>0</v>
      </c>
      <c r="AW511" s="288">
        <v>0</v>
      </c>
      <c r="AX511" s="288">
        <v>0</v>
      </c>
      <c r="AY511" s="288">
        <v>0</v>
      </c>
      <c r="AZ511" s="288">
        <v>0</v>
      </c>
      <c r="BA511" s="288">
        <v>0</v>
      </c>
      <c r="BB511" s="288">
        <v>0</v>
      </c>
      <c r="BC511" s="288">
        <v>0</v>
      </c>
      <c r="BD511" s="288">
        <v>0</v>
      </c>
      <c r="BE511" s="1305">
        <v>0</v>
      </c>
      <c r="BF511" s="249"/>
    </row>
    <row r="512" spans="2:58" x14ac:dyDescent="0.25">
      <c r="B512" s="277"/>
      <c r="C512" s="285" t="s">
        <v>77</v>
      </c>
      <c r="D512" s="285"/>
      <c r="E512" s="285"/>
      <c r="F512" s="285"/>
      <c r="G512" s="1306">
        <v>0</v>
      </c>
      <c r="H512" s="1306">
        <f>-H506</f>
        <v>0</v>
      </c>
      <c r="I512" s="1306">
        <f t="shared" ref="I512:BE512" si="176">-I506</f>
        <v>0</v>
      </c>
      <c r="J512" s="1306">
        <f t="shared" si="176"/>
        <v>0</v>
      </c>
      <c r="K512" s="1306">
        <f t="shared" si="176"/>
        <v>0</v>
      </c>
      <c r="L512" s="1306">
        <f t="shared" si="176"/>
        <v>0</v>
      </c>
      <c r="M512" s="1306">
        <f t="shared" si="176"/>
        <v>0</v>
      </c>
      <c r="N512" s="1306">
        <f t="shared" si="176"/>
        <v>0</v>
      </c>
      <c r="O512" s="1306">
        <f t="shared" si="176"/>
        <v>0</v>
      </c>
      <c r="P512" s="1306">
        <f t="shared" si="176"/>
        <v>0</v>
      </c>
      <c r="Q512" s="1306">
        <f t="shared" si="176"/>
        <v>0</v>
      </c>
      <c r="R512" s="1306">
        <f t="shared" si="176"/>
        <v>0</v>
      </c>
      <c r="S512" s="1306">
        <f t="shared" si="176"/>
        <v>0</v>
      </c>
      <c r="T512" s="1306">
        <f t="shared" si="176"/>
        <v>0</v>
      </c>
      <c r="U512" s="1306">
        <f t="shared" si="176"/>
        <v>0</v>
      </c>
      <c r="V512" s="1306">
        <f t="shared" si="176"/>
        <v>0</v>
      </c>
      <c r="W512" s="1306">
        <f t="shared" si="176"/>
        <v>0</v>
      </c>
      <c r="X512" s="1306">
        <f t="shared" si="176"/>
        <v>0</v>
      </c>
      <c r="Y512" s="1306">
        <f t="shared" si="176"/>
        <v>0</v>
      </c>
      <c r="Z512" s="1306">
        <f t="shared" si="176"/>
        <v>0</v>
      </c>
      <c r="AA512" s="1306">
        <f t="shared" si="176"/>
        <v>0</v>
      </c>
      <c r="AB512" s="1306">
        <f t="shared" si="176"/>
        <v>0</v>
      </c>
      <c r="AC512" s="1306">
        <f t="shared" si="176"/>
        <v>0</v>
      </c>
      <c r="AD512" s="1306">
        <f t="shared" si="176"/>
        <v>0</v>
      </c>
      <c r="AE512" s="1306">
        <f t="shared" si="176"/>
        <v>0</v>
      </c>
      <c r="AF512" s="1306">
        <f t="shared" si="176"/>
        <v>0</v>
      </c>
      <c r="AG512" s="1306">
        <f t="shared" si="176"/>
        <v>0</v>
      </c>
      <c r="AH512" s="1306">
        <f t="shared" si="176"/>
        <v>0</v>
      </c>
      <c r="AI512" s="1306">
        <f t="shared" si="176"/>
        <v>0</v>
      </c>
      <c r="AJ512" s="1306">
        <f t="shared" si="176"/>
        <v>0</v>
      </c>
      <c r="AK512" s="1306">
        <f t="shared" si="176"/>
        <v>0</v>
      </c>
      <c r="AL512" s="1306">
        <f t="shared" si="176"/>
        <v>0</v>
      </c>
      <c r="AM512" s="1306">
        <f t="shared" si="176"/>
        <v>0</v>
      </c>
      <c r="AN512" s="1306">
        <f t="shared" si="176"/>
        <v>0</v>
      </c>
      <c r="AO512" s="1306">
        <f t="shared" si="176"/>
        <v>0</v>
      </c>
      <c r="AP512" s="1306">
        <f t="shared" si="176"/>
        <v>0</v>
      </c>
      <c r="AQ512" s="1306">
        <f t="shared" si="176"/>
        <v>0</v>
      </c>
      <c r="AR512" s="1306">
        <f t="shared" si="176"/>
        <v>0</v>
      </c>
      <c r="AS512" s="1306">
        <f t="shared" si="176"/>
        <v>0</v>
      </c>
      <c r="AT512" s="1306">
        <f t="shared" si="176"/>
        <v>0</v>
      </c>
      <c r="AU512" s="1306">
        <f t="shared" si="176"/>
        <v>0</v>
      </c>
      <c r="AV512" s="1306">
        <f t="shared" si="176"/>
        <v>0</v>
      </c>
      <c r="AW512" s="1306">
        <f t="shared" si="176"/>
        <v>0</v>
      </c>
      <c r="AX512" s="1306">
        <f t="shared" si="176"/>
        <v>0</v>
      </c>
      <c r="AY512" s="1306">
        <f t="shared" si="176"/>
        <v>0</v>
      </c>
      <c r="AZ512" s="1306">
        <f t="shared" si="176"/>
        <v>0</v>
      </c>
      <c r="BA512" s="1306">
        <f t="shared" si="176"/>
        <v>0</v>
      </c>
      <c r="BB512" s="1306">
        <f t="shared" si="176"/>
        <v>0</v>
      </c>
      <c r="BC512" s="1306">
        <f t="shared" si="176"/>
        <v>0</v>
      </c>
      <c r="BD512" s="1306">
        <f t="shared" si="176"/>
        <v>0</v>
      </c>
      <c r="BE512" s="1307">
        <f t="shared" si="176"/>
        <v>0</v>
      </c>
      <c r="BF512" s="249"/>
    </row>
    <row r="513" spans="2:58" x14ac:dyDescent="0.25">
      <c r="B513" s="277"/>
      <c r="C513" s="278" t="s">
        <v>66</v>
      </c>
      <c r="D513" s="278"/>
      <c r="E513" s="278"/>
      <c r="F513" s="278"/>
      <c r="G513" s="288">
        <f>SUM(G510:G512)</f>
        <v>0</v>
      </c>
      <c r="H513" s="288">
        <f>SUM(H510:H512)</f>
        <v>0</v>
      </c>
      <c r="I513" s="288">
        <f t="shared" ref="I513:BE513" si="177">SUM(I510:I512)</f>
        <v>0</v>
      </c>
      <c r="J513" s="288">
        <f t="shared" si="177"/>
        <v>0</v>
      </c>
      <c r="K513" s="288">
        <f t="shared" si="177"/>
        <v>0</v>
      </c>
      <c r="L513" s="288">
        <f t="shared" si="177"/>
        <v>0</v>
      </c>
      <c r="M513" s="288">
        <f t="shared" si="177"/>
        <v>0</v>
      </c>
      <c r="N513" s="288">
        <f t="shared" si="177"/>
        <v>0</v>
      </c>
      <c r="O513" s="288">
        <f t="shared" si="177"/>
        <v>0</v>
      </c>
      <c r="P513" s="288">
        <f t="shared" si="177"/>
        <v>0</v>
      </c>
      <c r="Q513" s="288">
        <f t="shared" si="177"/>
        <v>0</v>
      </c>
      <c r="R513" s="288">
        <f t="shared" si="177"/>
        <v>0</v>
      </c>
      <c r="S513" s="288">
        <f t="shared" si="177"/>
        <v>0</v>
      </c>
      <c r="T513" s="288">
        <f t="shared" si="177"/>
        <v>0</v>
      </c>
      <c r="U513" s="288">
        <f t="shared" si="177"/>
        <v>0</v>
      </c>
      <c r="V513" s="288">
        <f t="shared" si="177"/>
        <v>0</v>
      </c>
      <c r="W513" s="288">
        <f t="shared" si="177"/>
        <v>0</v>
      </c>
      <c r="X513" s="288">
        <f t="shared" si="177"/>
        <v>0</v>
      </c>
      <c r="Y513" s="288">
        <f t="shared" si="177"/>
        <v>0</v>
      </c>
      <c r="Z513" s="288">
        <f t="shared" si="177"/>
        <v>0</v>
      </c>
      <c r="AA513" s="288">
        <f t="shared" si="177"/>
        <v>0</v>
      </c>
      <c r="AB513" s="288">
        <f t="shared" si="177"/>
        <v>0</v>
      </c>
      <c r="AC513" s="288">
        <f t="shared" si="177"/>
        <v>0</v>
      </c>
      <c r="AD513" s="288">
        <f t="shared" si="177"/>
        <v>0</v>
      </c>
      <c r="AE513" s="288">
        <f t="shared" si="177"/>
        <v>0</v>
      </c>
      <c r="AF513" s="288">
        <f t="shared" si="177"/>
        <v>0</v>
      </c>
      <c r="AG513" s="288">
        <f t="shared" si="177"/>
        <v>0</v>
      </c>
      <c r="AH513" s="288">
        <f t="shared" si="177"/>
        <v>0</v>
      </c>
      <c r="AI513" s="288">
        <f t="shared" si="177"/>
        <v>0</v>
      </c>
      <c r="AJ513" s="288">
        <f t="shared" si="177"/>
        <v>0</v>
      </c>
      <c r="AK513" s="288">
        <f t="shared" si="177"/>
        <v>0</v>
      </c>
      <c r="AL513" s="288">
        <f t="shared" si="177"/>
        <v>0</v>
      </c>
      <c r="AM513" s="288">
        <f t="shared" si="177"/>
        <v>0</v>
      </c>
      <c r="AN513" s="288">
        <f t="shared" si="177"/>
        <v>0</v>
      </c>
      <c r="AO513" s="288">
        <f t="shared" si="177"/>
        <v>0</v>
      </c>
      <c r="AP513" s="288">
        <f t="shared" si="177"/>
        <v>0</v>
      </c>
      <c r="AQ513" s="288">
        <f t="shared" si="177"/>
        <v>0</v>
      </c>
      <c r="AR513" s="288">
        <f t="shared" si="177"/>
        <v>0</v>
      </c>
      <c r="AS513" s="288">
        <f t="shared" si="177"/>
        <v>0</v>
      </c>
      <c r="AT513" s="288">
        <f t="shared" si="177"/>
        <v>0</v>
      </c>
      <c r="AU513" s="288">
        <f t="shared" si="177"/>
        <v>0</v>
      </c>
      <c r="AV513" s="288">
        <f t="shared" si="177"/>
        <v>0</v>
      </c>
      <c r="AW513" s="288">
        <f t="shared" si="177"/>
        <v>0</v>
      </c>
      <c r="AX513" s="288">
        <f t="shared" si="177"/>
        <v>0</v>
      </c>
      <c r="AY513" s="288">
        <f t="shared" si="177"/>
        <v>0</v>
      </c>
      <c r="AZ513" s="288">
        <f t="shared" si="177"/>
        <v>0</v>
      </c>
      <c r="BA513" s="288">
        <f t="shared" si="177"/>
        <v>0</v>
      </c>
      <c r="BB513" s="288">
        <f t="shared" si="177"/>
        <v>0</v>
      </c>
      <c r="BC513" s="288">
        <f t="shared" si="177"/>
        <v>0</v>
      </c>
      <c r="BD513" s="288">
        <f t="shared" si="177"/>
        <v>0</v>
      </c>
      <c r="BE513" s="1305">
        <f t="shared" si="177"/>
        <v>0</v>
      </c>
      <c r="BF513" s="249"/>
    </row>
    <row r="514" spans="2:58" x14ac:dyDescent="0.25">
      <c r="B514" s="277"/>
      <c r="C514" s="278"/>
      <c r="D514" s="278"/>
      <c r="E514" s="278"/>
      <c r="F514" s="278"/>
      <c r="G514" s="288"/>
      <c r="H514" s="288"/>
      <c r="I514" s="288"/>
      <c r="J514" s="288"/>
      <c r="K514" s="288"/>
      <c r="L514" s="288"/>
      <c r="M514" s="288"/>
      <c r="N514" s="288"/>
      <c r="O514" s="288"/>
      <c r="P514" s="288"/>
      <c r="Q514" s="288"/>
      <c r="R514" s="288"/>
      <c r="S514" s="288"/>
      <c r="T514" s="288"/>
      <c r="U514" s="288"/>
      <c r="V514" s="288"/>
      <c r="W514" s="288"/>
      <c r="X514" s="288"/>
      <c r="Y514" s="288"/>
      <c r="Z514" s="288"/>
      <c r="AA514" s="288"/>
      <c r="AB514" s="288"/>
      <c r="AC514" s="288"/>
      <c r="AD514" s="288"/>
      <c r="AE514" s="288"/>
      <c r="AF514" s="288"/>
      <c r="AG514" s="288"/>
      <c r="AH514" s="288"/>
      <c r="AI514" s="288"/>
      <c r="AJ514" s="288"/>
      <c r="AK514" s="288"/>
      <c r="AL514" s="288"/>
      <c r="AM514" s="288"/>
      <c r="AN514" s="288"/>
      <c r="AO514" s="288"/>
      <c r="AP514" s="288"/>
      <c r="AQ514" s="288"/>
      <c r="AR514" s="288"/>
      <c r="AS514" s="288"/>
      <c r="AT514" s="288"/>
      <c r="AU514" s="288"/>
      <c r="AV514" s="288"/>
      <c r="AW514" s="288"/>
      <c r="AX514" s="288"/>
      <c r="AY514" s="288"/>
      <c r="AZ514" s="288"/>
      <c r="BA514" s="288"/>
      <c r="BB514" s="288"/>
      <c r="BC514" s="288"/>
      <c r="BD514" s="288"/>
      <c r="BE514" s="1305"/>
      <c r="BF514" s="249"/>
    </row>
    <row r="515" spans="2:58" x14ac:dyDescent="0.25">
      <c r="B515" s="277"/>
      <c r="C515" s="396" t="s">
        <v>71</v>
      </c>
      <c r="D515" s="278"/>
      <c r="E515" s="278"/>
      <c r="F515" s="27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288"/>
      <c r="AF515" s="288"/>
      <c r="AG515" s="288"/>
      <c r="AH515" s="288"/>
      <c r="AI515" s="288"/>
      <c r="AJ515" s="288"/>
      <c r="AK515" s="288"/>
      <c r="AL515" s="288"/>
      <c r="AM515" s="288"/>
      <c r="AN515" s="288"/>
      <c r="AO515" s="288"/>
      <c r="AP515" s="288"/>
      <c r="AQ515" s="288"/>
      <c r="AR515" s="288"/>
      <c r="AS515" s="288"/>
      <c r="AT515" s="288"/>
      <c r="AU515" s="288"/>
      <c r="AV515" s="288"/>
      <c r="AW515" s="288"/>
      <c r="AX515" s="288"/>
      <c r="AY515" s="288"/>
      <c r="AZ515" s="288"/>
      <c r="BA515" s="288"/>
      <c r="BB515" s="288"/>
      <c r="BC515" s="288"/>
      <c r="BD515" s="288"/>
      <c r="BE515" s="1305"/>
      <c r="BF515" s="249"/>
    </row>
    <row r="516" spans="2:58" x14ac:dyDescent="0.25">
      <c r="B516" s="277"/>
      <c r="C516" s="278" t="s">
        <v>236</v>
      </c>
      <c r="D516" s="278"/>
      <c r="E516" s="278"/>
      <c r="F516" s="278"/>
      <c r="G516" s="288"/>
      <c r="H516" s="288">
        <f>IF($G500&gt;0, $G500*'II. Inputs, Baseline Energy Mix'!$P$51/10000,0)</f>
        <v>0</v>
      </c>
      <c r="I516" s="288">
        <v>0</v>
      </c>
      <c r="J516" s="288">
        <v>0</v>
      </c>
      <c r="K516" s="288">
        <v>0</v>
      </c>
      <c r="L516" s="288">
        <v>0</v>
      </c>
      <c r="M516" s="288">
        <v>0</v>
      </c>
      <c r="N516" s="288">
        <v>0</v>
      </c>
      <c r="O516" s="288">
        <v>0</v>
      </c>
      <c r="P516" s="288">
        <v>0</v>
      </c>
      <c r="Q516" s="288">
        <v>0</v>
      </c>
      <c r="R516" s="288">
        <v>0</v>
      </c>
      <c r="S516" s="288">
        <v>0</v>
      </c>
      <c r="T516" s="288">
        <v>0</v>
      </c>
      <c r="U516" s="288">
        <v>0</v>
      </c>
      <c r="V516" s="288">
        <v>0</v>
      </c>
      <c r="W516" s="288">
        <v>0</v>
      </c>
      <c r="X516" s="288">
        <v>0</v>
      </c>
      <c r="Y516" s="288">
        <v>0</v>
      </c>
      <c r="Z516" s="288">
        <v>0</v>
      </c>
      <c r="AA516" s="288">
        <v>0</v>
      </c>
      <c r="AB516" s="288">
        <v>0</v>
      </c>
      <c r="AC516" s="288">
        <v>0</v>
      </c>
      <c r="AD516" s="288">
        <v>0</v>
      </c>
      <c r="AE516" s="288">
        <v>0</v>
      </c>
      <c r="AF516" s="288">
        <v>0</v>
      </c>
      <c r="AG516" s="288">
        <v>0</v>
      </c>
      <c r="AH516" s="288">
        <v>0</v>
      </c>
      <c r="AI516" s="288">
        <v>0</v>
      </c>
      <c r="AJ516" s="288">
        <v>0</v>
      </c>
      <c r="AK516" s="288">
        <v>0</v>
      </c>
      <c r="AL516" s="288">
        <v>0</v>
      </c>
      <c r="AM516" s="288">
        <v>0</v>
      </c>
      <c r="AN516" s="288">
        <v>0</v>
      </c>
      <c r="AO516" s="288">
        <v>0</v>
      </c>
      <c r="AP516" s="288">
        <v>0</v>
      </c>
      <c r="AQ516" s="288">
        <v>0</v>
      </c>
      <c r="AR516" s="288">
        <v>0</v>
      </c>
      <c r="AS516" s="288">
        <v>0</v>
      </c>
      <c r="AT516" s="288">
        <v>0</v>
      </c>
      <c r="AU516" s="288">
        <v>0</v>
      </c>
      <c r="AV516" s="288">
        <v>0</v>
      </c>
      <c r="AW516" s="288">
        <v>0</v>
      </c>
      <c r="AX516" s="288">
        <v>0</v>
      </c>
      <c r="AY516" s="288">
        <v>0</v>
      </c>
      <c r="AZ516" s="288">
        <v>0</v>
      </c>
      <c r="BA516" s="288">
        <v>0</v>
      </c>
      <c r="BB516" s="288">
        <v>0</v>
      </c>
      <c r="BC516" s="288">
        <v>0</v>
      </c>
      <c r="BD516" s="288">
        <v>0</v>
      </c>
      <c r="BE516" s="1305">
        <v>0</v>
      </c>
      <c r="BF516" s="249"/>
    </row>
    <row r="517" spans="2:58" x14ac:dyDescent="0.25">
      <c r="B517" s="277"/>
      <c r="C517" s="278"/>
      <c r="D517" s="278"/>
      <c r="E517" s="278"/>
      <c r="F517" s="278"/>
      <c r="G517" s="278"/>
      <c r="H517" s="278"/>
      <c r="I517" s="278"/>
      <c r="J517" s="278"/>
      <c r="K517" s="278"/>
      <c r="L517" s="278"/>
      <c r="M517" s="278"/>
      <c r="N517" s="278"/>
      <c r="O517" s="278"/>
      <c r="P517" s="278"/>
      <c r="Q517" s="278"/>
      <c r="R517" s="278"/>
      <c r="S517" s="278"/>
      <c r="T517" s="278"/>
      <c r="U517" s="278"/>
      <c r="V517" s="278"/>
      <c r="W517" s="278"/>
      <c r="X517" s="278"/>
      <c r="Y517" s="278"/>
      <c r="Z517" s="278"/>
      <c r="AA517" s="278"/>
      <c r="AB517" s="278"/>
      <c r="AC517" s="278"/>
      <c r="AD517" s="278"/>
      <c r="AE517" s="278"/>
      <c r="AF517" s="278"/>
      <c r="AG517" s="278"/>
      <c r="AH517" s="278"/>
      <c r="AI517" s="278"/>
      <c r="AJ517" s="278"/>
      <c r="AK517" s="278"/>
      <c r="AL517" s="278"/>
      <c r="AM517" s="278"/>
      <c r="AN517" s="278"/>
      <c r="AO517" s="278"/>
      <c r="AP517" s="278"/>
      <c r="AQ517" s="278"/>
      <c r="AR517" s="278"/>
      <c r="AS517" s="278"/>
      <c r="AT517" s="278"/>
      <c r="AU517" s="278"/>
      <c r="AV517" s="278"/>
      <c r="AW517" s="278"/>
      <c r="AX517" s="278"/>
      <c r="AY517" s="278"/>
      <c r="AZ517" s="278"/>
      <c r="BA517" s="278"/>
      <c r="BB517" s="278"/>
      <c r="BC517" s="278"/>
      <c r="BD517" s="278"/>
      <c r="BE517" s="279"/>
    </row>
    <row r="518" spans="2:58" x14ac:dyDescent="0.25">
      <c r="B518" s="277"/>
      <c r="C518" s="278"/>
      <c r="D518" s="278"/>
      <c r="E518" s="278"/>
      <c r="F518" s="278"/>
      <c r="G518" s="278"/>
      <c r="H518" s="278"/>
      <c r="I518" s="278"/>
      <c r="J518" s="278"/>
      <c r="K518" s="278"/>
      <c r="L518" s="278"/>
      <c r="M518" s="278"/>
      <c r="N518" s="278"/>
      <c r="O518" s="278"/>
      <c r="P518" s="278"/>
      <c r="Q518" s="278"/>
      <c r="R518" s="278"/>
      <c r="S518" s="278"/>
      <c r="T518" s="278"/>
      <c r="U518" s="278"/>
      <c r="V518" s="278"/>
      <c r="W518" s="278"/>
      <c r="X518" s="278"/>
      <c r="Y518" s="278"/>
      <c r="Z518" s="278"/>
      <c r="AA518" s="278"/>
      <c r="AB518" s="278"/>
      <c r="AC518" s="278"/>
      <c r="AD518" s="278"/>
      <c r="AE518" s="278"/>
      <c r="AF518" s="278"/>
      <c r="AG518" s="278"/>
      <c r="AH518" s="278"/>
      <c r="AI518" s="278"/>
      <c r="AJ518" s="278"/>
      <c r="AK518" s="278"/>
      <c r="AL518" s="278"/>
      <c r="AM518" s="278"/>
      <c r="AN518" s="278"/>
      <c r="AO518" s="278"/>
      <c r="AP518" s="278"/>
      <c r="AQ518" s="278"/>
      <c r="AR518" s="278"/>
      <c r="AS518" s="278"/>
      <c r="AT518" s="278"/>
      <c r="AU518" s="278"/>
      <c r="AV518" s="278"/>
      <c r="AW518" s="278"/>
      <c r="AX518" s="278"/>
      <c r="AY518" s="278"/>
      <c r="AZ518" s="278"/>
      <c r="BA518" s="278"/>
      <c r="BB518" s="278"/>
      <c r="BC518" s="278"/>
      <c r="BD518" s="278"/>
      <c r="BE518" s="279"/>
    </row>
    <row r="519" spans="2:58" x14ac:dyDescent="0.25">
      <c r="B519" s="289" t="s">
        <v>86</v>
      </c>
      <c r="C519" s="278"/>
      <c r="D519" s="278"/>
      <c r="E519" s="278"/>
      <c r="F519" s="278"/>
      <c r="G519" s="1182"/>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278"/>
      <c r="AL519" s="278"/>
      <c r="AM519" s="278"/>
      <c r="AN519" s="278"/>
      <c r="AO519" s="278"/>
      <c r="AP519" s="278"/>
      <c r="AQ519" s="278"/>
      <c r="AR519" s="278"/>
      <c r="AS519" s="278"/>
      <c r="AT519" s="278"/>
      <c r="AU519" s="278"/>
      <c r="AV519" s="278"/>
      <c r="AW519" s="278"/>
      <c r="AX519" s="278"/>
      <c r="AY519" s="278"/>
      <c r="AZ519" s="278"/>
      <c r="BA519" s="278"/>
      <c r="BB519" s="278"/>
      <c r="BC519" s="278"/>
      <c r="BD519" s="278"/>
      <c r="BE519" s="279"/>
    </row>
    <row r="520" spans="2:58" x14ac:dyDescent="0.25">
      <c r="B520" s="277"/>
      <c r="C520" s="393" t="s">
        <v>84</v>
      </c>
      <c r="D520" s="278"/>
      <c r="E520" s="278"/>
      <c r="F520" s="278"/>
      <c r="G520" s="288">
        <f>IF('II. Inputs, Baseline Energy Mix'!$P$15&gt;0, ('II. Inputs, Baseline Energy Mix'!$P$16*'II. Inputs, Baseline Energy Mix'!$P$17*'II. Inputs, Baseline Energy Mix'!$P$29*'II. Inputs, Baseline Energy Mix'!$P$80),0)</f>
        <v>0</v>
      </c>
      <c r="H520" s="278"/>
      <c r="I520" s="278"/>
      <c r="J520" s="278"/>
      <c r="K520" s="278"/>
      <c r="L520" s="278"/>
      <c r="M520" s="278"/>
      <c r="N520" s="278"/>
      <c r="O520" s="278"/>
      <c r="P520" s="278"/>
      <c r="Q520" s="278"/>
      <c r="R520" s="278"/>
      <c r="S520" s="278"/>
      <c r="T520" s="278"/>
      <c r="U520" s="278"/>
      <c r="V520" s="278"/>
      <c r="W520" s="278"/>
      <c r="X520" s="278"/>
      <c r="Y520" s="278"/>
      <c r="Z520" s="278"/>
      <c r="AA520" s="278"/>
      <c r="AB520" s="278"/>
      <c r="AC520" s="278"/>
      <c r="AD520" s="278"/>
      <c r="AE520" s="278"/>
      <c r="AF520" s="278"/>
      <c r="AG520" s="278"/>
      <c r="AH520" s="278"/>
      <c r="AI520" s="278"/>
      <c r="AJ520" s="278"/>
      <c r="AK520" s="278"/>
      <c r="AL520" s="278"/>
      <c r="AM520" s="278"/>
      <c r="AN520" s="278"/>
      <c r="AO520" s="278"/>
      <c r="AP520" s="278"/>
      <c r="AQ520" s="278"/>
      <c r="AR520" s="278"/>
      <c r="AS520" s="278"/>
      <c r="AT520" s="278"/>
      <c r="AU520" s="278"/>
      <c r="AV520" s="278"/>
      <c r="AW520" s="278"/>
      <c r="AX520" s="278"/>
      <c r="AY520" s="278"/>
      <c r="AZ520" s="278"/>
      <c r="BA520" s="278"/>
      <c r="BB520" s="278"/>
      <c r="BC520" s="278"/>
      <c r="BD520" s="278"/>
      <c r="BE520" s="279"/>
    </row>
    <row r="521" spans="2:58" x14ac:dyDescent="0.25">
      <c r="B521" s="277"/>
      <c r="C521" s="393" t="str">
        <f>'II. Inputs, Baseline Energy Mix'!$E$81</f>
        <v xml:space="preserve">Term of Political Risk Insurance </v>
      </c>
      <c r="D521" s="278"/>
      <c r="E521" s="278"/>
      <c r="F521" s="278"/>
      <c r="G521" s="280">
        <f>'II. Inputs, Baseline Energy Mix'!$P$81</f>
        <v>0</v>
      </c>
      <c r="H521" s="278"/>
      <c r="I521" s="278"/>
      <c r="J521" s="278"/>
      <c r="K521" s="278"/>
      <c r="L521" s="278"/>
      <c r="M521" s="278"/>
      <c r="N521" s="278"/>
      <c r="O521" s="278"/>
      <c r="P521" s="278"/>
      <c r="Q521" s="278"/>
      <c r="R521" s="278"/>
      <c r="S521" s="278"/>
      <c r="T521" s="278"/>
      <c r="U521" s="278"/>
      <c r="V521" s="278"/>
      <c r="W521" s="278"/>
      <c r="X521" s="278"/>
      <c r="Y521" s="278"/>
      <c r="Z521" s="278"/>
      <c r="AA521" s="278"/>
      <c r="AB521" s="278"/>
      <c r="AC521" s="278"/>
      <c r="AD521" s="278"/>
      <c r="AE521" s="278"/>
      <c r="AF521" s="278"/>
      <c r="AG521" s="278"/>
      <c r="AH521" s="278"/>
      <c r="AI521" s="278"/>
      <c r="AJ521" s="278"/>
      <c r="AK521" s="278"/>
      <c r="AL521" s="278"/>
      <c r="AM521" s="278"/>
      <c r="AN521" s="278"/>
      <c r="AO521" s="278"/>
      <c r="AP521" s="278"/>
      <c r="AQ521" s="278"/>
      <c r="AR521" s="278"/>
      <c r="AS521" s="278"/>
      <c r="AT521" s="278"/>
      <c r="AU521" s="278"/>
      <c r="AV521" s="278"/>
      <c r="AW521" s="278"/>
      <c r="AX521" s="278"/>
      <c r="AY521" s="278"/>
      <c r="AZ521" s="278"/>
      <c r="BA521" s="278"/>
      <c r="BB521" s="278"/>
      <c r="BC521" s="278"/>
      <c r="BD521" s="278"/>
      <c r="BE521" s="279"/>
    </row>
    <row r="522" spans="2:58" x14ac:dyDescent="0.25">
      <c r="B522" s="277"/>
      <c r="C522" s="393" t="str">
        <f>'II. Inputs, Baseline Energy Mix'!$E$82</f>
        <v xml:space="preserve">Front-end Fee </v>
      </c>
      <c r="D522" s="278"/>
      <c r="E522" s="278"/>
      <c r="F522" s="278"/>
      <c r="G522" s="288">
        <f>'II. Inputs, Baseline Energy Mix'!$P$82</f>
        <v>0</v>
      </c>
      <c r="H522" s="278"/>
      <c r="I522" s="278"/>
      <c r="J522" s="278"/>
      <c r="K522" s="278"/>
      <c r="L522" s="278"/>
      <c r="M522" s="278"/>
      <c r="N522" s="278"/>
      <c r="O522" s="278"/>
      <c r="P522" s="278"/>
      <c r="Q522" s="278"/>
      <c r="R522" s="278"/>
      <c r="S522" s="278"/>
      <c r="T522" s="278"/>
      <c r="U522" s="278"/>
      <c r="V522" s="278"/>
      <c r="W522" s="278"/>
      <c r="X522" s="278"/>
      <c r="Y522" s="278"/>
      <c r="Z522" s="278"/>
      <c r="AA522" s="278"/>
      <c r="AB522" s="278"/>
      <c r="AC522" s="278"/>
      <c r="AD522" s="278"/>
      <c r="AE522" s="278"/>
      <c r="AF522" s="278"/>
      <c r="AG522" s="278"/>
      <c r="AH522" s="278"/>
      <c r="AI522" s="278"/>
      <c r="AJ522" s="278"/>
      <c r="AK522" s="278"/>
      <c r="AL522" s="278"/>
      <c r="AM522" s="278"/>
      <c r="AN522" s="278"/>
      <c r="AO522" s="278"/>
      <c r="AP522" s="278"/>
      <c r="AQ522" s="278"/>
      <c r="AR522" s="278"/>
      <c r="AS522" s="278"/>
      <c r="AT522" s="278"/>
      <c r="AU522" s="278"/>
      <c r="AV522" s="278"/>
      <c r="AW522" s="278"/>
      <c r="AX522" s="278"/>
      <c r="AY522" s="278"/>
      <c r="AZ522" s="278"/>
      <c r="BA522" s="278"/>
      <c r="BB522" s="278"/>
      <c r="BC522" s="278"/>
      <c r="BD522" s="278"/>
      <c r="BE522" s="279"/>
    </row>
    <row r="523" spans="2:58" x14ac:dyDescent="0.25">
      <c r="B523" s="277"/>
      <c r="C523" s="393" t="str">
        <f>'II. Inputs, Baseline Energy Mix'!$E$83</f>
        <v xml:space="preserve">Annual Political Risk Insurance Premium </v>
      </c>
      <c r="D523" s="278"/>
      <c r="E523" s="278"/>
      <c r="F523" s="278"/>
      <c r="G523" s="288">
        <f>'II. Inputs, Baseline Energy Mix'!$P$83</f>
        <v>0</v>
      </c>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278"/>
      <c r="AL523" s="278"/>
      <c r="AM523" s="278"/>
      <c r="AN523" s="278"/>
      <c r="AO523" s="278"/>
      <c r="AP523" s="278"/>
      <c r="AQ523" s="278"/>
      <c r="AR523" s="278"/>
      <c r="AS523" s="278"/>
      <c r="AT523" s="278"/>
      <c r="AU523" s="278"/>
      <c r="AV523" s="278"/>
      <c r="AW523" s="278"/>
      <c r="AX523" s="278"/>
      <c r="AY523" s="278"/>
      <c r="AZ523" s="278"/>
      <c r="BA523" s="278"/>
      <c r="BB523" s="278"/>
      <c r="BC523" s="278"/>
      <c r="BD523" s="278"/>
      <c r="BE523" s="279"/>
    </row>
    <row r="524" spans="2:58" x14ac:dyDescent="0.25">
      <c r="B524" s="277"/>
      <c r="C524" s="278"/>
      <c r="D524" s="278"/>
      <c r="E524" s="278"/>
      <c r="F524" s="278"/>
      <c r="G524" s="278"/>
      <c r="H524" s="278"/>
      <c r="I524" s="278"/>
      <c r="J524" s="278"/>
      <c r="K524" s="278"/>
      <c r="L524" s="278"/>
      <c r="M524" s="278"/>
      <c r="N524" s="278"/>
      <c r="O524" s="278"/>
      <c r="P524" s="278"/>
      <c r="Q524" s="278"/>
      <c r="R524" s="278"/>
      <c r="S524" s="278"/>
      <c r="T524" s="278"/>
      <c r="U524" s="278"/>
      <c r="V524" s="278"/>
      <c r="W524" s="278"/>
      <c r="X524" s="278"/>
      <c r="Y524" s="278"/>
      <c r="Z524" s="278"/>
      <c r="AA524" s="278"/>
      <c r="AB524" s="278"/>
      <c r="AC524" s="278"/>
      <c r="AD524" s="278"/>
      <c r="AE524" s="278"/>
      <c r="AF524" s="278"/>
      <c r="AG524" s="278"/>
      <c r="AH524" s="278"/>
      <c r="AI524" s="278"/>
      <c r="AJ524" s="278"/>
      <c r="AK524" s="278"/>
      <c r="AL524" s="278"/>
      <c r="AM524" s="278"/>
      <c r="AN524" s="278"/>
      <c r="AO524" s="278"/>
      <c r="AP524" s="278"/>
      <c r="AQ524" s="278"/>
      <c r="AR524" s="278"/>
      <c r="AS524" s="278"/>
      <c r="AT524" s="278"/>
      <c r="AU524" s="278"/>
      <c r="AV524" s="278"/>
      <c r="AW524" s="278"/>
      <c r="AX524" s="278"/>
      <c r="AY524" s="278"/>
      <c r="AZ524" s="278"/>
      <c r="BA524" s="278"/>
      <c r="BB524" s="278"/>
      <c r="BC524" s="278"/>
      <c r="BD524" s="278"/>
      <c r="BE524" s="279"/>
    </row>
    <row r="525" spans="2:58" x14ac:dyDescent="0.25">
      <c r="B525" s="277"/>
      <c r="C525" s="396" t="s">
        <v>71</v>
      </c>
      <c r="D525" s="278"/>
      <c r="E525" s="278"/>
      <c r="F525" s="278"/>
      <c r="G525" s="278"/>
      <c r="H525" s="278"/>
      <c r="I525" s="278"/>
      <c r="J525" s="278"/>
      <c r="K525" s="278"/>
      <c r="L525" s="278"/>
      <c r="M525" s="278"/>
      <c r="N525" s="278"/>
      <c r="O525" s="278"/>
      <c r="P525" s="278"/>
      <c r="Q525" s="278"/>
      <c r="R525" s="278"/>
      <c r="S525" s="278"/>
      <c r="T525" s="278"/>
      <c r="U525" s="278"/>
      <c r="V525" s="278"/>
      <c r="W525" s="278"/>
      <c r="X525" s="278"/>
      <c r="Y525" s="278"/>
      <c r="Z525" s="278"/>
      <c r="AA525" s="278"/>
      <c r="AB525" s="278"/>
      <c r="AC525" s="278"/>
      <c r="AD525" s="278"/>
      <c r="AE525" s="278"/>
      <c r="AF525" s="278"/>
      <c r="AG525" s="278"/>
      <c r="AH525" s="278"/>
      <c r="AI525" s="278"/>
      <c r="AJ525" s="278"/>
      <c r="AK525" s="278"/>
      <c r="AL525" s="278"/>
      <c r="AM525" s="278"/>
      <c r="AN525" s="278"/>
      <c r="AO525" s="278"/>
      <c r="AP525" s="278"/>
      <c r="AQ525" s="278"/>
      <c r="AR525" s="278"/>
      <c r="AS525" s="278"/>
      <c r="AT525" s="278"/>
      <c r="AU525" s="278"/>
      <c r="AV525" s="278"/>
      <c r="AW525" s="278"/>
      <c r="AX525" s="278"/>
      <c r="AY525" s="278"/>
      <c r="AZ525" s="278"/>
      <c r="BA525" s="278"/>
      <c r="BB525" s="278"/>
      <c r="BC525" s="278"/>
      <c r="BD525" s="278"/>
      <c r="BE525" s="279"/>
    </row>
    <row r="526" spans="2:58" x14ac:dyDescent="0.25">
      <c r="B526" s="277"/>
      <c r="C526" s="278" t="str">
        <f>'II. Inputs, Baseline Energy Mix'!$E$82</f>
        <v xml:space="preserve">Front-end Fee </v>
      </c>
      <c r="D526" s="278"/>
      <c r="E526" s="278"/>
      <c r="F526" s="278"/>
      <c r="G526" s="278"/>
      <c r="H526" s="288">
        <f>IF(G520&gt;0, G520*G522/10000, 0)</f>
        <v>0</v>
      </c>
      <c r="I526" s="288">
        <v>0</v>
      </c>
      <c r="J526" s="288">
        <v>0</v>
      </c>
      <c r="K526" s="288">
        <v>0</v>
      </c>
      <c r="L526" s="288">
        <v>0</v>
      </c>
      <c r="M526" s="288">
        <v>0</v>
      </c>
      <c r="N526" s="288">
        <v>0</v>
      </c>
      <c r="O526" s="288">
        <v>0</v>
      </c>
      <c r="P526" s="288">
        <v>0</v>
      </c>
      <c r="Q526" s="288">
        <v>0</v>
      </c>
      <c r="R526" s="288">
        <v>0</v>
      </c>
      <c r="S526" s="288">
        <v>0</v>
      </c>
      <c r="T526" s="288">
        <v>0</v>
      </c>
      <c r="U526" s="288">
        <v>0</v>
      </c>
      <c r="V526" s="288">
        <v>0</v>
      </c>
      <c r="W526" s="288">
        <v>0</v>
      </c>
      <c r="X526" s="288">
        <v>0</v>
      </c>
      <c r="Y526" s="288">
        <v>0</v>
      </c>
      <c r="Z526" s="288">
        <v>0</v>
      </c>
      <c r="AA526" s="288">
        <v>0</v>
      </c>
      <c r="AB526" s="288">
        <v>0</v>
      </c>
      <c r="AC526" s="288">
        <v>0</v>
      </c>
      <c r="AD526" s="288">
        <v>0</v>
      </c>
      <c r="AE526" s="288">
        <v>0</v>
      </c>
      <c r="AF526" s="288">
        <v>0</v>
      </c>
      <c r="AG526" s="288">
        <v>0</v>
      </c>
      <c r="AH526" s="288">
        <v>0</v>
      </c>
      <c r="AI526" s="288">
        <v>0</v>
      </c>
      <c r="AJ526" s="288">
        <v>0</v>
      </c>
      <c r="AK526" s="288">
        <v>0</v>
      </c>
      <c r="AL526" s="288">
        <v>0</v>
      </c>
      <c r="AM526" s="288">
        <v>0</v>
      </c>
      <c r="AN526" s="288">
        <v>0</v>
      </c>
      <c r="AO526" s="288">
        <v>0</v>
      </c>
      <c r="AP526" s="288">
        <v>0</v>
      </c>
      <c r="AQ526" s="288">
        <v>0</v>
      </c>
      <c r="AR526" s="288">
        <v>0</v>
      </c>
      <c r="AS526" s="288">
        <v>0</v>
      </c>
      <c r="AT526" s="288">
        <v>0</v>
      </c>
      <c r="AU526" s="288">
        <v>0</v>
      </c>
      <c r="AV526" s="288">
        <v>0</v>
      </c>
      <c r="AW526" s="288">
        <v>0</v>
      </c>
      <c r="AX526" s="288">
        <v>0</v>
      </c>
      <c r="AY526" s="288">
        <v>0</v>
      </c>
      <c r="AZ526" s="288">
        <v>0</v>
      </c>
      <c r="BA526" s="288">
        <v>0</v>
      </c>
      <c r="BB526" s="288">
        <v>0</v>
      </c>
      <c r="BC526" s="288">
        <v>0</v>
      </c>
      <c r="BD526" s="288">
        <v>0</v>
      </c>
      <c r="BE526" s="1305">
        <v>0</v>
      </c>
    </row>
    <row r="527" spans="2:58" x14ac:dyDescent="0.25">
      <c r="B527" s="277"/>
      <c r="C527" s="285" t="str">
        <f>'II. Inputs, Baseline Energy Mix'!$E$83</f>
        <v xml:space="preserve">Annual Political Risk Insurance Premium </v>
      </c>
      <c r="D527" s="285"/>
      <c r="E527" s="285"/>
      <c r="F527" s="285"/>
      <c r="G527" s="285"/>
      <c r="H527" s="1306">
        <f>IF(H$299&gt;$G521,0,($G520*$G523/10000))</f>
        <v>0</v>
      </c>
      <c r="I527" s="1306">
        <f>IF(I$299&gt;$G521,0,($G520*$G523/10000))</f>
        <v>0</v>
      </c>
      <c r="J527" s="1306">
        <f t="shared" ref="J527:BE527" si="178">IF(J$299&gt;$G521,0,($G520*$G523/10000))</f>
        <v>0</v>
      </c>
      <c r="K527" s="1306">
        <f t="shared" si="178"/>
        <v>0</v>
      </c>
      <c r="L527" s="1306">
        <f t="shared" si="178"/>
        <v>0</v>
      </c>
      <c r="M527" s="1306">
        <f t="shared" si="178"/>
        <v>0</v>
      </c>
      <c r="N527" s="1306">
        <f t="shared" si="178"/>
        <v>0</v>
      </c>
      <c r="O527" s="1306">
        <f t="shared" si="178"/>
        <v>0</v>
      </c>
      <c r="P527" s="1306">
        <f t="shared" si="178"/>
        <v>0</v>
      </c>
      <c r="Q527" s="1306">
        <f t="shared" si="178"/>
        <v>0</v>
      </c>
      <c r="R527" s="1306">
        <f t="shared" si="178"/>
        <v>0</v>
      </c>
      <c r="S527" s="1306">
        <f t="shared" si="178"/>
        <v>0</v>
      </c>
      <c r="T527" s="1306">
        <f t="shared" si="178"/>
        <v>0</v>
      </c>
      <c r="U527" s="1306">
        <f t="shared" si="178"/>
        <v>0</v>
      </c>
      <c r="V527" s="1306">
        <f t="shared" si="178"/>
        <v>0</v>
      </c>
      <c r="W527" s="1306">
        <f t="shared" si="178"/>
        <v>0</v>
      </c>
      <c r="X527" s="1306">
        <f t="shared" si="178"/>
        <v>0</v>
      </c>
      <c r="Y527" s="1306">
        <f t="shared" si="178"/>
        <v>0</v>
      </c>
      <c r="Z527" s="1306">
        <f t="shared" si="178"/>
        <v>0</v>
      </c>
      <c r="AA527" s="1306">
        <f t="shared" si="178"/>
        <v>0</v>
      </c>
      <c r="AB527" s="1306">
        <f t="shared" si="178"/>
        <v>0</v>
      </c>
      <c r="AC527" s="1306">
        <f t="shared" si="178"/>
        <v>0</v>
      </c>
      <c r="AD527" s="1306">
        <f t="shared" si="178"/>
        <v>0</v>
      </c>
      <c r="AE527" s="1306">
        <f t="shared" si="178"/>
        <v>0</v>
      </c>
      <c r="AF527" s="1306">
        <f t="shared" si="178"/>
        <v>0</v>
      </c>
      <c r="AG527" s="1306">
        <f t="shared" si="178"/>
        <v>0</v>
      </c>
      <c r="AH527" s="1306">
        <f t="shared" si="178"/>
        <v>0</v>
      </c>
      <c r="AI527" s="1306">
        <f t="shared" si="178"/>
        <v>0</v>
      </c>
      <c r="AJ527" s="1306">
        <f t="shared" si="178"/>
        <v>0</v>
      </c>
      <c r="AK527" s="1306">
        <f t="shared" si="178"/>
        <v>0</v>
      </c>
      <c r="AL527" s="1306">
        <f t="shared" si="178"/>
        <v>0</v>
      </c>
      <c r="AM527" s="1306">
        <f t="shared" si="178"/>
        <v>0</v>
      </c>
      <c r="AN527" s="1306">
        <f t="shared" si="178"/>
        <v>0</v>
      </c>
      <c r="AO527" s="1306">
        <f t="shared" si="178"/>
        <v>0</v>
      </c>
      <c r="AP527" s="1306">
        <f t="shared" si="178"/>
        <v>0</v>
      </c>
      <c r="AQ527" s="1306">
        <f t="shared" si="178"/>
        <v>0</v>
      </c>
      <c r="AR527" s="1306">
        <f t="shared" si="178"/>
        <v>0</v>
      </c>
      <c r="AS527" s="1306">
        <f t="shared" si="178"/>
        <v>0</v>
      </c>
      <c r="AT527" s="1306">
        <f t="shared" si="178"/>
        <v>0</v>
      </c>
      <c r="AU527" s="1306">
        <f t="shared" si="178"/>
        <v>0</v>
      </c>
      <c r="AV527" s="1306">
        <f t="shared" si="178"/>
        <v>0</v>
      </c>
      <c r="AW527" s="1306">
        <f t="shared" si="178"/>
        <v>0</v>
      </c>
      <c r="AX527" s="1306">
        <f t="shared" si="178"/>
        <v>0</v>
      </c>
      <c r="AY527" s="1306">
        <f t="shared" si="178"/>
        <v>0</v>
      </c>
      <c r="AZ527" s="1306">
        <f t="shared" si="178"/>
        <v>0</v>
      </c>
      <c r="BA527" s="1306">
        <f t="shared" si="178"/>
        <v>0</v>
      </c>
      <c r="BB527" s="1306">
        <f t="shared" si="178"/>
        <v>0</v>
      </c>
      <c r="BC527" s="1306">
        <f t="shared" si="178"/>
        <v>0</v>
      </c>
      <c r="BD527" s="1306">
        <f t="shared" si="178"/>
        <v>0</v>
      </c>
      <c r="BE527" s="1307">
        <f t="shared" si="178"/>
        <v>0</v>
      </c>
    </row>
    <row r="528" spans="2:58" x14ac:dyDescent="0.25">
      <c r="B528" s="277"/>
      <c r="C528" s="278" t="s">
        <v>85</v>
      </c>
      <c r="D528" s="278"/>
      <c r="E528" s="278"/>
      <c r="F528" s="278"/>
      <c r="G528" s="278"/>
      <c r="H528" s="288">
        <f>H526+H527</f>
        <v>0</v>
      </c>
      <c r="I528" s="288">
        <f t="shared" ref="I528:BE528" si="179">I526+I527</f>
        <v>0</v>
      </c>
      <c r="J528" s="288">
        <f t="shared" si="179"/>
        <v>0</v>
      </c>
      <c r="K528" s="288">
        <f t="shared" si="179"/>
        <v>0</v>
      </c>
      <c r="L528" s="288">
        <f t="shared" si="179"/>
        <v>0</v>
      </c>
      <c r="M528" s="288">
        <f t="shared" si="179"/>
        <v>0</v>
      </c>
      <c r="N528" s="288">
        <f t="shared" si="179"/>
        <v>0</v>
      </c>
      <c r="O528" s="288">
        <f t="shared" si="179"/>
        <v>0</v>
      </c>
      <c r="P528" s="288">
        <f t="shared" si="179"/>
        <v>0</v>
      </c>
      <c r="Q528" s="288">
        <f t="shared" si="179"/>
        <v>0</v>
      </c>
      <c r="R528" s="288">
        <f t="shared" si="179"/>
        <v>0</v>
      </c>
      <c r="S528" s="288">
        <f t="shared" si="179"/>
        <v>0</v>
      </c>
      <c r="T528" s="288">
        <f t="shared" si="179"/>
        <v>0</v>
      </c>
      <c r="U528" s="288">
        <f t="shared" si="179"/>
        <v>0</v>
      </c>
      <c r="V528" s="288">
        <f t="shared" si="179"/>
        <v>0</v>
      </c>
      <c r="W528" s="288">
        <f t="shared" si="179"/>
        <v>0</v>
      </c>
      <c r="X528" s="288">
        <f t="shared" si="179"/>
        <v>0</v>
      </c>
      <c r="Y528" s="288">
        <f t="shared" si="179"/>
        <v>0</v>
      </c>
      <c r="Z528" s="288">
        <f t="shared" si="179"/>
        <v>0</v>
      </c>
      <c r="AA528" s="288">
        <f t="shared" si="179"/>
        <v>0</v>
      </c>
      <c r="AB528" s="288">
        <f t="shared" si="179"/>
        <v>0</v>
      </c>
      <c r="AC528" s="288">
        <f t="shared" si="179"/>
        <v>0</v>
      </c>
      <c r="AD528" s="288">
        <f t="shared" si="179"/>
        <v>0</v>
      </c>
      <c r="AE528" s="288">
        <f t="shared" si="179"/>
        <v>0</v>
      </c>
      <c r="AF528" s="288">
        <f t="shared" si="179"/>
        <v>0</v>
      </c>
      <c r="AG528" s="288">
        <f t="shared" si="179"/>
        <v>0</v>
      </c>
      <c r="AH528" s="288">
        <f t="shared" si="179"/>
        <v>0</v>
      </c>
      <c r="AI528" s="288">
        <f t="shared" si="179"/>
        <v>0</v>
      </c>
      <c r="AJ528" s="288">
        <f t="shared" si="179"/>
        <v>0</v>
      </c>
      <c r="AK528" s="288">
        <f t="shared" si="179"/>
        <v>0</v>
      </c>
      <c r="AL528" s="288">
        <f t="shared" si="179"/>
        <v>0</v>
      </c>
      <c r="AM528" s="288">
        <f t="shared" si="179"/>
        <v>0</v>
      </c>
      <c r="AN528" s="288">
        <f t="shared" si="179"/>
        <v>0</v>
      </c>
      <c r="AO528" s="288">
        <f t="shared" si="179"/>
        <v>0</v>
      </c>
      <c r="AP528" s="288">
        <f t="shared" si="179"/>
        <v>0</v>
      </c>
      <c r="AQ528" s="288">
        <f t="shared" si="179"/>
        <v>0</v>
      </c>
      <c r="AR528" s="288">
        <f t="shared" si="179"/>
        <v>0</v>
      </c>
      <c r="AS528" s="288">
        <f t="shared" si="179"/>
        <v>0</v>
      </c>
      <c r="AT528" s="288">
        <f t="shared" si="179"/>
        <v>0</v>
      </c>
      <c r="AU528" s="288">
        <f t="shared" si="179"/>
        <v>0</v>
      </c>
      <c r="AV528" s="288">
        <f t="shared" si="179"/>
        <v>0</v>
      </c>
      <c r="AW528" s="288">
        <f t="shared" si="179"/>
        <v>0</v>
      </c>
      <c r="AX528" s="288">
        <f t="shared" si="179"/>
        <v>0</v>
      </c>
      <c r="AY528" s="288">
        <f t="shared" si="179"/>
        <v>0</v>
      </c>
      <c r="AZ528" s="288">
        <f t="shared" si="179"/>
        <v>0</v>
      </c>
      <c r="BA528" s="288">
        <f t="shared" si="179"/>
        <v>0</v>
      </c>
      <c r="BB528" s="288">
        <f t="shared" si="179"/>
        <v>0</v>
      </c>
      <c r="BC528" s="288">
        <f t="shared" si="179"/>
        <v>0</v>
      </c>
      <c r="BD528" s="288">
        <f t="shared" si="179"/>
        <v>0</v>
      </c>
      <c r="BE528" s="1305">
        <f t="shared" si="179"/>
        <v>0</v>
      </c>
    </row>
    <row r="529" spans="2:57" ht="13.8" thickBot="1" x14ac:dyDescent="0.3">
      <c r="B529" s="296"/>
      <c r="C529" s="297"/>
      <c r="D529" s="297"/>
      <c r="E529" s="297"/>
      <c r="F529" s="297"/>
      <c r="G529" s="297"/>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c r="AJ529" s="298"/>
      <c r="AK529" s="298"/>
      <c r="AL529" s="298"/>
      <c r="AM529" s="298"/>
      <c r="AN529" s="298"/>
      <c r="AO529" s="298"/>
      <c r="AP529" s="298"/>
      <c r="AQ529" s="298"/>
      <c r="AR529" s="298"/>
      <c r="AS529" s="298"/>
      <c r="AT529" s="298"/>
      <c r="AU529" s="298"/>
      <c r="AV529" s="298"/>
      <c r="AW529" s="298"/>
      <c r="AX529" s="298"/>
      <c r="AY529" s="298"/>
      <c r="AZ529" s="298"/>
      <c r="BA529" s="298"/>
      <c r="BB529" s="298"/>
      <c r="BC529" s="298"/>
      <c r="BD529" s="298"/>
      <c r="BE529" s="399"/>
    </row>
    <row r="530" spans="2:57" ht="15.75" customHeight="1" thickBot="1" x14ac:dyDescent="0.3">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49"/>
      <c r="AS530" s="249"/>
      <c r="AT530" s="249"/>
      <c r="AU530" s="249"/>
      <c r="AV530" s="249"/>
      <c r="AW530" s="249"/>
      <c r="AX530" s="249"/>
      <c r="AY530" s="249"/>
      <c r="AZ530" s="249"/>
      <c r="BA530" s="249"/>
      <c r="BB530" s="249"/>
      <c r="BC530" s="249"/>
      <c r="BD530" s="249"/>
      <c r="BE530" s="249"/>
    </row>
    <row r="531" spans="2:57" s="36" customFormat="1" x14ac:dyDescent="0.25">
      <c r="B531" s="300" t="str">
        <f>B156</f>
        <v>LIGHT FUEL OIL</v>
      </c>
      <c r="C531" s="301"/>
      <c r="D531" s="301"/>
      <c r="E531" s="301"/>
      <c r="F531" s="301"/>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c r="AU531" s="301"/>
      <c r="AV531" s="301"/>
      <c r="AW531" s="301"/>
      <c r="AX531" s="301"/>
      <c r="AY531" s="301"/>
      <c r="AZ531" s="301"/>
      <c r="BA531" s="301"/>
      <c r="BB531" s="301"/>
      <c r="BC531" s="301"/>
      <c r="BD531" s="301"/>
      <c r="BE531" s="302"/>
    </row>
    <row r="532" spans="2:57" x14ac:dyDescent="0.25">
      <c r="B532" s="303"/>
      <c r="C532" s="304"/>
      <c r="D532" s="304"/>
      <c r="E532" s="304"/>
      <c r="F532" s="304"/>
      <c r="G532" s="304"/>
      <c r="H532" s="304"/>
      <c r="I532" s="304"/>
      <c r="J532" s="304"/>
      <c r="K532" s="304"/>
      <c r="L532" s="304"/>
      <c r="M532" s="304"/>
      <c r="N532" s="304"/>
      <c r="O532" s="304"/>
      <c r="P532" s="304"/>
      <c r="Q532" s="304"/>
      <c r="R532" s="304"/>
      <c r="S532" s="304"/>
      <c r="T532" s="304"/>
      <c r="U532" s="304"/>
      <c r="V532" s="304"/>
      <c r="W532" s="304"/>
      <c r="X532" s="304"/>
      <c r="Y532" s="304"/>
      <c r="Z532" s="304"/>
      <c r="AA532" s="304"/>
      <c r="AB532" s="304"/>
      <c r="AC532" s="304"/>
      <c r="AD532" s="304"/>
      <c r="AE532" s="304"/>
      <c r="AF532" s="304"/>
      <c r="AG532" s="304"/>
      <c r="AH532" s="304"/>
      <c r="AI532" s="304"/>
      <c r="AJ532" s="304"/>
      <c r="AK532" s="304"/>
      <c r="AL532" s="304"/>
      <c r="AM532" s="304"/>
      <c r="AN532" s="304"/>
      <c r="AO532" s="304"/>
      <c r="AP532" s="304"/>
      <c r="AQ532" s="304"/>
      <c r="AR532" s="304"/>
      <c r="AS532" s="304"/>
      <c r="AT532" s="304"/>
      <c r="AU532" s="304"/>
      <c r="AV532" s="304"/>
      <c r="AW532" s="304"/>
      <c r="AX532" s="304"/>
      <c r="AY532" s="304"/>
      <c r="AZ532" s="304"/>
      <c r="BA532" s="304"/>
      <c r="BB532" s="304"/>
      <c r="BC532" s="304"/>
      <c r="BD532" s="304"/>
      <c r="BE532" s="305"/>
    </row>
    <row r="533" spans="2:57" x14ac:dyDescent="0.25">
      <c r="B533" s="315" t="s">
        <v>257</v>
      </c>
      <c r="C533" s="304"/>
      <c r="D533" s="304"/>
      <c r="E533" s="304"/>
      <c r="F533" s="304"/>
      <c r="G533" s="304"/>
      <c r="H533" s="304"/>
      <c r="I533" s="304"/>
      <c r="J533" s="304"/>
      <c r="K533" s="304"/>
      <c r="L533" s="304"/>
      <c r="M533" s="304"/>
      <c r="N533" s="304"/>
      <c r="O533" s="304"/>
      <c r="P533" s="304"/>
      <c r="Q533" s="304"/>
      <c r="R533" s="304"/>
      <c r="S533" s="304"/>
      <c r="T533" s="304"/>
      <c r="U533" s="304"/>
      <c r="V533" s="304"/>
      <c r="W533" s="304"/>
      <c r="X533" s="304"/>
      <c r="Y533" s="304"/>
      <c r="Z533" s="304"/>
      <c r="AA533" s="304"/>
      <c r="AB533" s="304"/>
      <c r="AC533" s="304"/>
      <c r="AD533" s="304"/>
      <c r="AE533" s="304"/>
      <c r="AF533" s="304"/>
      <c r="AG533" s="304"/>
      <c r="AH533" s="304"/>
      <c r="AI533" s="304"/>
      <c r="AJ533" s="304"/>
      <c r="AK533" s="304"/>
      <c r="AL533" s="304"/>
      <c r="AM533" s="304"/>
      <c r="AN533" s="304"/>
      <c r="AO533" s="304"/>
      <c r="AP533" s="304"/>
      <c r="AQ533" s="304"/>
      <c r="AR533" s="304"/>
      <c r="AS533" s="304"/>
      <c r="AT533" s="304"/>
      <c r="AU533" s="304"/>
      <c r="AV533" s="304"/>
      <c r="AW533" s="304"/>
      <c r="AX533" s="304"/>
      <c r="AY533" s="304"/>
      <c r="AZ533" s="304"/>
      <c r="BA533" s="304"/>
      <c r="BB533" s="304"/>
      <c r="BC533" s="304"/>
      <c r="BD533" s="304"/>
      <c r="BE533" s="305"/>
    </row>
    <row r="534" spans="2:57" x14ac:dyDescent="0.25">
      <c r="B534" s="303"/>
      <c r="C534" s="400" t="s">
        <v>68</v>
      </c>
      <c r="D534" s="307" t="s">
        <v>22</v>
      </c>
      <c r="E534" s="304"/>
      <c r="F534" s="304"/>
      <c r="G534" s="314">
        <f>IF('II. Inputs, Baseline Energy Mix'!$Q$15&gt;0,('II. Inputs, Baseline Energy Mix'!$Q$16*'II. Inputs, Baseline Energy Mix'!$Q$17*'II. Inputs, Baseline Energy Mix'!$Q$30*'II. Inputs, Baseline Energy Mix'!$Q$32),0)</f>
        <v>0</v>
      </c>
      <c r="H534" s="304"/>
      <c r="I534" s="304"/>
      <c r="J534" s="304"/>
      <c r="K534" s="304"/>
      <c r="L534" s="304"/>
      <c r="M534" s="304"/>
      <c r="N534" s="304"/>
      <c r="O534" s="304"/>
      <c r="P534" s="304"/>
      <c r="Q534" s="304"/>
      <c r="R534" s="304"/>
      <c r="S534" s="304"/>
      <c r="T534" s="304"/>
      <c r="U534" s="304"/>
      <c r="V534" s="304"/>
      <c r="W534" s="304"/>
      <c r="X534" s="304"/>
      <c r="Y534" s="304"/>
      <c r="Z534" s="304"/>
      <c r="AA534" s="304"/>
      <c r="AB534" s="304"/>
      <c r="AC534" s="304"/>
      <c r="AD534" s="304"/>
      <c r="AE534" s="304"/>
      <c r="AF534" s="304"/>
      <c r="AG534" s="304"/>
      <c r="AH534" s="304"/>
      <c r="AI534" s="304"/>
      <c r="AJ534" s="304"/>
      <c r="AK534" s="304"/>
      <c r="AL534" s="304"/>
      <c r="AM534" s="304"/>
      <c r="AN534" s="304"/>
      <c r="AO534" s="304"/>
      <c r="AP534" s="304"/>
      <c r="AQ534" s="304"/>
      <c r="AR534" s="304"/>
      <c r="AS534" s="304"/>
      <c r="AT534" s="304"/>
      <c r="AU534" s="304"/>
      <c r="AV534" s="304"/>
      <c r="AW534" s="304"/>
      <c r="AX534" s="304"/>
      <c r="AY534" s="304"/>
      <c r="AZ534" s="304"/>
      <c r="BA534" s="304"/>
      <c r="BB534" s="304"/>
      <c r="BC534" s="304"/>
      <c r="BD534" s="304"/>
      <c r="BE534" s="305"/>
    </row>
    <row r="535" spans="2:57" x14ac:dyDescent="0.25">
      <c r="B535" s="303"/>
      <c r="C535" s="400" t="s">
        <v>69</v>
      </c>
      <c r="D535" s="307" t="s">
        <v>20</v>
      </c>
      <c r="E535" s="304"/>
      <c r="F535" s="304"/>
      <c r="G535" s="306">
        <f>SUM('II. Inputs, Baseline Energy Mix'!$Q$69)</f>
        <v>0</v>
      </c>
      <c r="H535" s="304"/>
      <c r="I535" s="304"/>
      <c r="J535" s="304"/>
      <c r="K535" s="304"/>
      <c r="L535" s="304"/>
      <c r="M535" s="304"/>
      <c r="N535" s="304"/>
      <c r="O535" s="304"/>
      <c r="P535" s="304"/>
      <c r="Q535" s="304"/>
      <c r="R535" s="304"/>
      <c r="S535" s="304"/>
      <c r="T535" s="304"/>
      <c r="U535" s="304"/>
      <c r="V535" s="304"/>
      <c r="W535" s="304"/>
      <c r="X535" s="304"/>
      <c r="Y535" s="304"/>
      <c r="Z535" s="304"/>
      <c r="AA535" s="304"/>
      <c r="AB535" s="304"/>
      <c r="AC535" s="304"/>
      <c r="AD535" s="304"/>
      <c r="AE535" s="304"/>
      <c r="AF535" s="304"/>
      <c r="AG535" s="304"/>
      <c r="AH535" s="304"/>
      <c r="AI535" s="304"/>
      <c r="AJ535" s="304"/>
      <c r="AK535" s="304"/>
      <c r="AL535" s="304"/>
      <c r="AM535" s="304"/>
      <c r="AN535" s="304"/>
      <c r="AO535" s="304"/>
      <c r="AP535" s="304"/>
      <c r="AQ535" s="304"/>
      <c r="AR535" s="304"/>
      <c r="AS535" s="304"/>
      <c r="AT535" s="304"/>
      <c r="AU535" s="304"/>
      <c r="AV535" s="304"/>
      <c r="AW535" s="304"/>
      <c r="AX535" s="304"/>
      <c r="AY535" s="304"/>
      <c r="AZ535" s="304"/>
      <c r="BA535" s="304"/>
      <c r="BB535" s="304"/>
      <c r="BC535" s="304"/>
      <c r="BD535" s="304"/>
      <c r="BE535" s="305"/>
    </row>
    <row r="536" spans="2:57" x14ac:dyDescent="0.25">
      <c r="B536" s="303"/>
      <c r="C536" s="400" t="s">
        <v>70</v>
      </c>
      <c r="D536" s="307" t="s">
        <v>16</v>
      </c>
      <c r="E536" s="304"/>
      <c r="F536" s="304"/>
      <c r="G536" s="401">
        <f>SUM('II. Inputs, Baseline Energy Mix'!$Q$68)</f>
        <v>0</v>
      </c>
      <c r="H536" s="304"/>
      <c r="I536" s="304"/>
      <c r="J536" s="304"/>
      <c r="K536" s="304"/>
      <c r="L536" s="304"/>
      <c r="M536" s="304"/>
      <c r="N536" s="304"/>
      <c r="O536" s="304"/>
      <c r="P536" s="304"/>
      <c r="Q536" s="304"/>
      <c r="R536" s="304"/>
      <c r="S536" s="304"/>
      <c r="T536" s="304"/>
      <c r="U536" s="304"/>
      <c r="V536" s="304"/>
      <c r="W536" s="304"/>
      <c r="X536" s="304"/>
      <c r="Y536" s="304"/>
      <c r="Z536" s="304"/>
      <c r="AA536" s="304"/>
      <c r="AB536" s="304"/>
      <c r="AC536" s="304"/>
      <c r="AD536" s="304"/>
      <c r="AE536" s="304"/>
      <c r="AF536" s="304"/>
      <c r="AG536" s="304"/>
      <c r="AH536" s="304"/>
      <c r="AI536" s="304"/>
      <c r="AJ536" s="304"/>
      <c r="AK536" s="304"/>
      <c r="AL536" s="304"/>
      <c r="AM536" s="304"/>
      <c r="AN536" s="304"/>
      <c r="AO536" s="304"/>
      <c r="AP536" s="304"/>
      <c r="AQ536" s="304"/>
      <c r="AR536" s="304"/>
      <c r="AS536" s="304"/>
      <c r="AT536" s="304"/>
      <c r="AU536" s="304"/>
      <c r="AV536" s="304"/>
      <c r="AW536" s="304"/>
      <c r="AX536" s="304"/>
      <c r="AY536" s="304"/>
      <c r="AZ536" s="304"/>
      <c r="BA536" s="304"/>
      <c r="BB536" s="304"/>
      <c r="BC536" s="304"/>
      <c r="BD536" s="304"/>
      <c r="BE536" s="305"/>
    </row>
    <row r="537" spans="2:57" x14ac:dyDescent="0.25">
      <c r="B537" s="303"/>
      <c r="C537" s="304"/>
      <c r="D537" s="304"/>
      <c r="E537" s="304"/>
      <c r="F537" s="304"/>
      <c r="G537" s="304"/>
      <c r="H537" s="304"/>
      <c r="I537" s="304"/>
      <c r="J537" s="304"/>
      <c r="K537" s="304"/>
      <c r="L537" s="304"/>
      <c r="M537" s="304"/>
      <c r="N537" s="304"/>
      <c r="O537" s="304"/>
      <c r="P537" s="304"/>
      <c r="Q537" s="304"/>
      <c r="R537" s="304"/>
      <c r="S537" s="304"/>
      <c r="T537" s="304"/>
      <c r="U537" s="304"/>
      <c r="V537" s="304"/>
      <c r="W537" s="304"/>
      <c r="X537" s="304"/>
      <c r="Y537" s="304"/>
      <c r="Z537" s="304"/>
      <c r="AA537" s="304"/>
      <c r="AB537" s="304"/>
      <c r="AC537" s="304"/>
      <c r="AD537" s="304"/>
      <c r="AE537" s="304"/>
      <c r="AF537" s="304"/>
      <c r="AG537" s="304"/>
      <c r="AH537" s="304"/>
      <c r="AI537" s="304"/>
      <c r="AJ537" s="304"/>
      <c r="AK537" s="304"/>
      <c r="AL537" s="304"/>
      <c r="AM537" s="304"/>
      <c r="AN537" s="304"/>
      <c r="AO537" s="304"/>
      <c r="AP537" s="304"/>
      <c r="AQ537" s="304"/>
      <c r="AR537" s="304"/>
      <c r="AS537" s="304"/>
      <c r="AT537" s="304"/>
      <c r="AU537" s="304"/>
      <c r="AV537" s="304"/>
      <c r="AW537" s="304"/>
      <c r="AX537" s="304"/>
      <c r="AY537" s="304"/>
      <c r="AZ537" s="304"/>
      <c r="BA537" s="304"/>
      <c r="BB537" s="304"/>
      <c r="BC537" s="304"/>
      <c r="BD537" s="304"/>
      <c r="BE537" s="305"/>
    </row>
    <row r="538" spans="2:57" x14ac:dyDescent="0.25">
      <c r="B538" s="303"/>
      <c r="C538" s="402" t="s">
        <v>67</v>
      </c>
      <c r="D538" s="304"/>
      <c r="E538" s="304"/>
      <c r="F538" s="304"/>
      <c r="G538" s="304"/>
      <c r="H538" s="304"/>
      <c r="I538" s="304"/>
      <c r="J538" s="304"/>
      <c r="K538" s="304"/>
      <c r="L538" s="304"/>
      <c r="M538" s="304"/>
      <c r="N538" s="304"/>
      <c r="O538" s="304"/>
      <c r="P538" s="304"/>
      <c r="Q538" s="304"/>
      <c r="R538" s="304"/>
      <c r="S538" s="304"/>
      <c r="T538" s="304"/>
      <c r="U538" s="304"/>
      <c r="V538" s="304"/>
      <c r="W538" s="304"/>
      <c r="X538" s="304"/>
      <c r="Y538" s="304"/>
      <c r="Z538" s="304"/>
      <c r="AA538" s="304"/>
      <c r="AB538" s="304"/>
      <c r="AC538" s="304"/>
      <c r="AD538" s="304"/>
      <c r="AE538" s="304"/>
      <c r="AF538" s="304"/>
      <c r="AG538" s="304"/>
      <c r="AH538" s="304"/>
      <c r="AI538" s="304"/>
      <c r="AJ538" s="304"/>
      <c r="AK538" s="304"/>
      <c r="AL538" s="304"/>
      <c r="AM538" s="304"/>
      <c r="AN538" s="304"/>
      <c r="AO538" s="304"/>
      <c r="AP538" s="304"/>
      <c r="AQ538" s="304"/>
      <c r="AR538" s="304"/>
      <c r="AS538" s="304"/>
      <c r="AT538" s="304"/>
      <c r="AU538" s="304"/>
      <c r="AV538" s="304"/>
      <c r="AW538" s="304"/>
      <c r="AX538" s="304"/>
      <c r="AY538" s="304"/>
      <c r="AZ538" s="304"/>
      <c r="BA538" s="304"/>
      <c r="BB538" s="304"/>
      <c r="BC538" s="304"/>
      <c r="BD538" s="304"/>
      <c r="BE538" s="305"/>
    </row>
    <row r="539" spans="2:57" x14ac:dyDescent="0.25">
      <c r="B539" s="303"/>
      <c r="C539" s="304" t="s">
        <v>73</v>
      </c>
      <c r="D539" s="304"/>
      <c r="E539" s="304"/>
      <c r="F539" s="304"/>
      <c r="G539" s="314"/>
      <c r="H539" s="314">
        <f>IF(H$299&gt;$G535,0,IPMT($G536,H$299,$G535,-$G534))</f>
        <v>0</v>
      </c>
      <c r="I539" s="314">
        <f>IF(I$299&gt;$G535,0,IPMT($G536,I$299,$G535,-$G534))</f>
        <v>0</v>
      </c>
      <c r="J539" s="314">
        <f>IF(J$299&gt;$G535,0,IPMT($G536,J$299,$G535,-$G534))</f>
        <v>0</v>
      </c>
      <c r="K539" s="314">
        <f>IF(K$299&gt;$G535,0,IPMT($G536,K$299,$G535,-$G534))</f>
        <v>0</v>
      </c>
      <c r="L539" s="314">
        <f t="shared" ref="L539:BE539" si="180">IF(L$299&gt;$G535,0,IPMT($G536,L$299,$G535,-$G534))</f>
        <v>0</v>
      </c>
      <c r="M539" s="314">
        <f t="shared" si="180"/>
        <v>0</v>
      </c>
      <c r="N539" s="314">
        <f t="shared" si="180"/>
        <v>0</v>
      </c>
      <c r="O539" s="314">
        <f t="shared" si="180"/>
        <v>0</v>
      </c>
      <c r="P539" s="314">
        <f t="shared" si="180"/>
        <v>0</v>
      </c>
      <c r="Q539" s="314">
        <f t="shared" si="180"/>
        <v>0</v>
      </c>
      <c r="R539" s="314">
        <f t="shared" si="180"/>
        <v>0</v>
      </c>
      <c r="S539" s="314">
        <f t="shared" si="180"/>
        <v>0</v>
      </c>
      <c r="T539" s="314">
        <f t="shared" si="180"/>
        <v>0</v>
      </c>
      <c r="U539" s="314">
        <f t="shared" si="180"/>
        <v>0</v>
      </c>
      <c r="V539" s="314">
        <f t="shared" si="180"/>
        <v>0</v>
      </c>
      <c r="W539" s="314">
        <f t="shared" si="180"/>
        <v>0</v>
      </c>
      <c r="X539" s="314">
        <f t="shared" si="180"/>
        <v>0</v>
      </c>
      <c r="Y539" s="314">
        <f t="shared" si="180"/>
        <v>0</v>
      </c>
      <c r="Z539" s="314">
        <f t="shared" si="180"/>
        <v>0</v>
      </c>
      <c r="AA539" s="314">
        <f t="shared" si="180"/>
        <v>0</v>
      </c>
      <c r="AB539" s="314">
        <f t="shared" si="180"/>
        <v>0</v>
      </c>
      <c r="AC539" s="314">
        <f t="shared" si="180"/>
        <v>0</v>
      </c>
      <c r="AD539" s="314">
        <f t="shared" si="180"/>
        <v>0</v>
      </c>
      <c r="AE539" s="314">
        <f t="shared" si="180"/>
        <v>0</v>
      </c>
      <c r="AF539" s="314">
        <f t="shared" si="180"/>
        <v>0</v>
      </c>
      <c r="AG539" s="314">
        <f t="shared" si="180"/>
        <v>0</v>
      </c>
      <c r="AH539" s="314">
        <f t="shared" si="180"/>
        <v>0</v>
      </c>
      <c r="AI539" s="314">
        <f t="shared" si="180"/>
        <v>0</v>
      </c>
      <c r="AJ539" s="314">
        <f t="shared" si="180"/>
        <v>0</v>
      </c>
      <c r="AK539" s="314">
        <f t="shared" si="180"/>
        <v>0</v>
      </c>
      <c r="AL539" s="314">
        <f t="shared" si="180"/>
        <v>0</v>
      </c>
      <c r="AM539" s="314">
        <f t="shared" si="180"/>
        <v>0</v>
      </c>
      <c r="AN539" s="314">
        <f t="shared" si="180"/>
        <v>0</v>
      </c>
      <c r="AO539" s="314">
        <f t="shared" si="180"/>
        <v>0</v>
      </c>
      <c r="AP539" s="314">
        <f t="shared" si="180"/>
        <v>0</v>
      </c>
      <c r="AQ539" s="314">
        <f t="shared" si="180"/>
        <v>0</v>
      </c>
      <c r="AR539" s="314">
        <f t="shared" si="180"/>
        <v>0</v>
      </c>
      <c r="AS539" s="314">
        <f t="shared" si="180"/>
        <v>0</v>
      </c>
      <c r="AT539" s="314">
        <f t="shared" si="180"/>
        <v>0</v>
      </c>
      <c r="AU539" s="314">
        <f t="shared" si="180"/>
        <v>0</v>
      </c>
      <c r="AV539" s="314">
        <f t="shared" si="180"/>
        <v>0</v>
      </c>
      <c r="AW539" s="314">
        <f t="shared" si="180"/>
        <v>0</v>
      </c>
      <c r="AX539" s="314">
        <f t="shared" si="180"/>
        <v>0</v>
      </c>
      <c r="AY539" s="314">
        <f t="shared" si="180"/>
        <v>0</v>
      </c>
      <c r="AZ539" s="314">
        <f t="shared" si="180"/>
        <v>0</v>
      </c>
      <c r="BA539" s="314">
        <f t="shared" si="180"/>
        <v>0</v>
      </c>
      <c r="BB539" s="314">
        <f t="shared" si="180"/>
        <v>0</v>
      </c>
      <c r="BC539" s="314">
        <f t="shared" si="180"/>
        <v>0</v>
      </c>
      <c r="BD539" s="314">
        <f t="shared" si="180"/>
        <v>0</v>
      </c>
      <c r="BE539" s="1315">
        <f t="shared" si="180"/>
        <v>0</v>
      </c>
    </row>
    <row r="540" spans="2:57" x14ac:dyDescent="0.25">
      <c r="B540" s="303"/>
      <c r="C540" s="311" t="s">
        <v>72</v>
      </c>
      <c r="D540" s="311"/>
      <c r="E540" s="311"/>
      <c r="F540" s="311"/>
      <c r="G540" s="1316"/>
      <c r="H540" s="1316">
        <f>IF(H$299&gt;$G535,0,PPMT($G536,H$299,$G535,-$G534))</f>
        <v>0</v>
      </c>
      <c r="I540" s="1316">
        <f>IF(I$299&gt;$G535,0,PPMT($G536,I$299,$G535,-$G534))</f>
        <v>0</v>
      </c>
      <c r="J540" s="1316">
        <f>IF(J$299&gt;$G535,0,PPMT($G536,J$299,$G535,-$G534))</f>
        <v>0</v>
      </c>
      <c r="K540" s="1316">
        <f>IF(K$299&gt;$G535,0,PPMT($G536,K$299,$G535,-$G534))</f>
        <v>0</v>
      </c>
      <c r="L540" s="1316">
        <f t="shared" ref="L540:BE540" si="181">IF(L$299&gt;$G535,0,PPMT($G536,L$299,$G535,-$G534))</f>
        <v>0</v>
      </c>
      <c r="M540" s="1316">
        <f t="shared" si="181"/>
        <v>0</v>
      </c>
      <c r="N540" s="1316">
        <f t="shared" si="181"/>
        <v>0</v>
      </c>
      <c r="O540" s="1316">
        <f t="shared" si="181"/>
        <v>0</v>
      </c>
      <c r="P540" s="1316">
        <f t="shared" si="181"/>
        <v>0</v>
      </c>
      <c r="Q540" s="1316">
        <f t="shared" si="181"/>
        <v>0</v>
      </c>
      <c r="R540" s="1316">
        <f t="shared" si="181"/>
        <v>0</v>
      </c>
      <c r="S540" s="1316">
        <f t="shared" si="181"/>
        <v>0</v>
      </c>
      <c r="T540" s="1316">
        <f t="shared" si="181"/>
        <v>0</v>
      </c>
      <c r="U540" s="1316">
        <f t="shared" si="181"/>
        <v>0</v>
      </c>
      <c r="V540" s="1316">
        <f t="shared" si="181"/>
        <v>0</v>
      </c>
      <c r="W540" s="1316">
        <f t="shared" si="181"/>
        <v>0</v>
      </c>
      <c r="X540" s="1316">
        <f t="shared" si="181"/>
        <v>0</v>
      </c>
      <c r="Y540" s="1316">
        <f t="shared" si="181"/>
        <v>0</v>
      </c>
      <c r="Z540" s="1316">
        <f t="shared" si="181"/>
        <v>0</v>
      </c>
      <c r="AA540" s="1316">
        <f t="shared" si="181"/>
        <v>0</v>
      </c>
      <c r="AB540" s="1316">
        <f t="shared" si="181"/>
        <v>0</v>
      </c>
      <c r="AC540" s="1316">
        <f t="shared" si="181"/>
        <v>0</v>
      </c>
      <c r="AD540" s="1316">
        <f t="shared" si="181"/>
        <v>0</v>
      </c>
      <c r="AE540" s="1316">
        <f t="shared" si="181"/>
        <v>0</v>
      </c>
      <c r="AF540" s="1316">
        <f t="shared" si="181"/>
        <v>0</v>
      </c>
      <c r="AG540" s="1316">
        <f t="shared" si="181"/>
        <v>0</v>
      </c>
      <c r="AH540" s="1316">
        <f t="shared" si="181"/>
        <v>0</v>
      </c>
      <c r="AI540" s="1316">
        <f t="shared" si="181"/>
        <v>0</v>
      </c>
      <c r="AJ540" s="1316">
        <f t="shared" si="181"/>
        <v>0</v>
      </c>
      <c r="AK540" s="1316">
        <f t="shared" si="181"/>
        <v>0</v>
      </c>
      <c r="AL540" s="1316">
        <f t="shared" si="181"/>
        <v>0</v>
      </c>
      <c r="AM540" s="1316">
        <f t="shared" si="181"/>
        <v>0</v>
      </c>
      <c r="AN540" s="1316">
        <f t="shared" si="181"/>
        <v>0</v>
      </c>
      <c r="AO540" s="1316">
        <f t="shared" si="181"/>
        <v>0</v>
      </c>
      <c r="AP540" s="1316">
        <f t="shared" si="181"/>
        <v>0</v>
      </c>
      <c r="AQ540" s="1316">
        <f t="shared" si="181"/>
        <v>0</v>
      </c>
      <c r="AR540" s="1316">
        <f t="shared" si="181"/>
        <v>0</v>
      </c>
      <c r="AS540" s="1316">
        <f t="shared" si="181"/>
        <v>0</v>
      </c>
      <c r="AT540" s="1316">
        <f t="shared" si="181"/>
        <v>0</v>
      </c>
      <c r="AU540" s="1316">
        <f t="shared" si="181"/>
        <v>0</v>
      </c>
      <c r="AV540" s="1316">
        <f t="shared" si="181"/>
        <v>0</v>
      </c>
      <c r="AW540" s="1316">
        <f t="shared" si="181"/>
        <v>0</v>
      </c>
      <c r="AX540" s="1316">
        <f t="shared" si="181"/>
        <v>0</v>
      </c>
      <c r="AY540" s="1316">
        <f t="shared" si="181"/>
        <v>0</v>
      </c>
      <c r="AZ540" s="1316">
        <f t="shared" si="181"/>
        <v>0</v>
      </c>
      <c r="BA540" s="1316">
        <f t="shared" si="181"/>
        <v>0</v>
      </c>
      <c r="BB540" s="1316">
        <f t="shared" si="181"/>
        <v>0</v>
      </c>
      <c r="BC540" s="1316">
        <f t="shared" si="181"/>
        <v>0</v>
      </c>
      <c r="BD540" s="1316">
        <f t="shared" si="181"/>
        <v>0</v>
      </c>
      <c r="BE540" s="1317">
        <f t="shared" si="181"/>
        <v>0</v>
      </c>
    </row>
    <row r="541" spans="2:57" x14ac:dyDescent="0.25">
      <c r="B541" s="303"/>
      <c r="C541" s="304" t="s">
        <v>74</v>
      </c>
      <c r="D541" s="304"/>
      <c r="E541" s="304"/>
      <c r="F541" s="304"/>
      <c r="G541" s="314"/>
      <c r="H541" s="314">
        <f>SUM(H539:H540)</f>
        <v>0</v>
      </c>
      <c r="I541" s="314">
        <f t="shared" ref="I541:BE541" si="182">SUM(I539:I540)</f>
        <v>0</v>
      </c>
      <c r="J541" s="314">
        <f t="shared" si="182"/>
        <v>0</v>
      </c>
      <c r="K541" s="314">
        <f t="shared" si="182"/>
        <v>0</v>
      </c>
      <c r="L541" s="314">
        <f t="shared" si="182"/>
        <v>0</v>
      </c>
      <c r="M541" s="314">
        <f t="shared" si="182"/>
        <v>0</v>
      </c>
      <c r="N541" s="314">
        <f t="shared" si="182"/>
        <v>0</v>
      </c>
      <c r="O541" s="314">
        <f t="shared" si="182"/>
        <v>0</v>
      </c>
      <c r="P541" s="314">
        <f t="shared" si="182"/>
        <v>0</v>
      </c>
      <c r="Q541" s="314">
        <f t="shared" si="182"/>
        <v>0</v>
      </c>
      <c r="R541" s="314">
        <f t="shared" si="182"/>
        <v>0</v>
      </c>
      <c r="S541" s="314">
        <f t="shared" si="182"/>
        <v>0</v>
      </c>
      <c r="T541" s="314">
        <f t="shared" si="182"/>
        <v>0</v>
      </c>
      <c r="U541" s="314">
        <f t="shared" si="182"/>
        <v>0</v>
      </c>
      <c r="V541" s="314">
        <f t="shared" si="182"/>
        <v>0</v>
      </c>
      <c r="W541" s="314">
        <f t="shared" si="182"/>
        <v>0</v>
      </c>
      <c r="X541" s="314">
        <f t="shared" si="182"/>
        <v>0</v>
      </c>
      <c r="Y541" s="314">
        <f t="shared" si="182"/>
        <v>0</v>
      </c>
      <c r="Z541" s="314">
        <f t="shared" si="182"/>
        <v>0</v>
      </c>
      <c r="AA541" s="314">
        <f t="shared" si="182"/>
        <v>0</v>
      </c>
      <c r="AB541" s="314">
        <f t="shared" si="182"/>
        <v>0</v>
      </c>
      <c r="AC541" s="314">
        <f t="shared" si="182"/>
        <v>0</v>
      </c>
      <c r="AD541" s="314">
        <f t="shared" si="182"/>
        <v>0</v>
      </c>
      <c r="AE541" s="314">
        <f t="shared" si="182"/>
        <v>0</v>
      </c>
      <c r="AF541" s="314">
        <f t="shared" si="182"/>
        <v>0</v>
      </c>
      <c r="AG541" s="314">
        <f t="shared" si="182"/>
        <v>0</v>
      </c>
      <c r="AH541" s="314">
        <f t="shared" si="182"/>
        <v>0</v>
      </c>
      <c r="AI541" s="314">
        <f t="shared" si="182"/>
        <v>0</v>
      </c>
      <c r="AJ541" s="314">
        <f t="shared" si="182"/>
        <v>0</v>
      </c>
      <c r="AK541" s="314">
        <f t="shared" si="182"/>
        <v>0</v>
      </c>
      <c r="AL541" s="314">
        <f t="shared" si="182"/>
        <v>0</v>
      </c>
      <c r="AM541" s="314">
        <f t="shared" si="182"/>
        <v>0</v>
      </c>
      <c r="AN541" s="314">
        <f t="shared" si="182"/>
        <v>0</v>
      </c>
      <c r="AO541" s="314">
        <f t="shared" si="182"/>
        <v>0</v>
      </c>
      <c r="AP541" s="314">
        <f t="shared" si="182"/>
        <v>0</v>
      </c>
      <c r="AQ541" s="314">
        <f t="shared" si="182"/>
        <v>0</v>
      </c>
      <c r="AR541" s="314">
        <f t="shared" si="182"/>
        <v>0</v>
      </c>
      <c r="AS541" s="314">
        <f t="shared" si="182"/>
        <v>0</v>
      </c>
      <c r="AT541" s="314">
        <f t="shared" si="182"/>
        <v>0</v>
      </c>
      <c r="AU541" s="314">
        <f t="shared" si="182"/>
        <v>0</v>
      </c>
      <c r="AV541" s="314">
        <f t="shared" si="182"/>
        <v>0</v>
      </c>
      <c r="AW541" s="314">
        <f t="shared" si="182"/>
        <v>0</v>
      </c>
      <c r="AX541" s="314">
        <f t="shared" si="182"/>
        <v>0</v>
      </c>
      <c r="AY541" s="314">
        <f t="shared" si="182"/>
        <v>0</v>
      </c>
      <c r="AZ541" s="314">
        <f t="shared" si="182"/>
        <v>0</v>
      </c>
      <c r="BA541" s="314">
        <f t="shared" si="182"/>
        <v>0</v>
      </c>
      <c r="BB541" s="314">
        <f t="shared" si="182"/>
        <v>0</v>
      </c>
      <c r="BC541" s="314">
        <f t="shared" si="182"/>
        <v>0</v>
      </c>
      <c r="BD541" s="314">
        <f t="shared" si="182"/>
        <v>0</v>
      </c>
      <c r="BE541" s="1315">
        <f t="shared" si="182"/>
        <v>0</v>
      </c>
    </row>
    <row r="542" spans="2:57" x14ac:dyDescent="0.25">
      <c r="B542" s="303"/>
      <c r="C542" s="304"/>
      <c r="D542" s="304"/>
      <c r="E542" s="304"/>
      <c r="F542" s="304"/>
      <c r="G542" s="314"/>
      <c r="H542" s="314"/>
      <c r="I542" s="314"/>
      <c r="J542" s="314"/>
      <c r="K542" s="314"/>
      <c r="L542" s="314"/>
      <c r="M542" s="314"/>
      <c r="N542" s="314"/>
      <c r="O542" s="314"/>
      <c r="P542" s="314"/>
      <c r="Q542" s="314"/>
      <c r="R542" s="314"/>
      <c r="S542" s="314"/>
      <c r="T542" s="314"/>
      <c r="U542" s="314"/>
      <c r="V542" s="314"/>
      <c r="W542" s="314"/>
      <c r="X542" s="314"/>
      <c r="Y542" s="314"/>
      <c r="Z542" s="314"/>
      <c r="AA542" s="314"/>
      <c r="AB542" s="314"/>
      <c r="AC542" s="314"/>
      <c r="AD542" s="314"/>
      <c r="AE542" s="314"/>
      <c r="AF542" s="314"/>
      <c r="AG542" s="314"/>
      <c r="AH542" s="314"/>
      <c r="AI542" s="314"/>
      <c r="AJ542" s="314"/>
      <c r="AK542" s="314"/>
      <c r="AL542" s="314"/>
      <c r="AM542" s="314"/>
      <c r="AN542" s="314"/>
      <c r="AO542" s="314"/>
      <c r="AP542" s="314"/>
      <c r="AQ542" s="314"/>
      <c r="AR542" s="314"/>
      <c r="AS542" s="314"/>
      <c r="AT542" s="314"/>
      <c r="AU542" s="314"/>
      <c r="AV542" s="314"/>
      <c r="AW542" s="314"/>
      <c r="AX542" s="314"/>
      <c r="AY542" s="314"/>
      <c r="AZ542" s="314"/>
      <c r="BA542" s="314"/>
      <c r="BB542" s="314"/>
      <c r="BC542" s="314"/>
      <c r="BD542" s="314"/>
      <c r="BE542" s="1315"/>
    </row>
    <row r="543" spans="2:57" x14ac:dyDescent="0.25">
      <c r="B543" s="303"/>
      <c r="C543" s="403" t="s">
        <v>65</v>
      </c>
      <c r="D543" s="304"/>
      <c r="E543" s="304"/>
      <c r="F543" s="304"/>
      <c r="G543" s="314"/>
      <c r="H543" s="314"/>
      <c r="I543" s="314"/>
      <c r="J543" s="314"/>
      <c r="K543" s="314"/>
      <c r="L543" s="314"/>
      <c r="M543" s="314"/>
      <c r="N543" s="314"/>
      <c r="O543" s="314"/>
      <c r="P543" s="314"/>
      <c r="Q543" s="314"/>
      <c r="R543" s="314"/>
      <c r="S543" s="314"/>
      <c r="T543" s="314"/>
      <c r="U543" s="314"/>
      <c r="V543" s="314"/>
      <c r="W543" s="314"/>
      <c r="X543" s="314"/>
      <c r="Y543" s="314"/>
      <c r="Z543" s="314"/>
      <c r="AA543" s="314"/>
      <c r="AB543" s="314"/>
      <c r="AC543" s="314"/>
      <c r="AD543" s="314"/>
      <c r="AE543" s="314"/>
      <c r="AF543" s="314"/>
      <c r="AG543" s="314"/>
      <c r="AH543" s="314"/>
      <c r="AI543" s="314"/>
      <c r="AJ543" s="314"/>
      <c r="AK543" s="314"/>
      <c r="AL543" s="314"/>
      <c r="AM543" s="314"/>
      <c r="AN543" s="314"/>
      <c r="AO543" s="314"/>
      <c r="AP543" s="314"/>
      <c r="AQ543" s="314"/>
      <c r="AR543" s="314"/>
      <c r="AS543" s="314"/>
      <c r="AT543" s="314"/>
      <c r="AU543" s="314"/>
      <c r="AV543" s="314"/>
      <c r="AW543" s="314"/>
      <c r="AX543" s="314"/>
      <c r="AY543" s="314"/>
      <c r="AZ543" s="314"/>
      <c r="BA543" s="314"/>
      <c r="BB543" s="314"/>
      <c r="BC543" s="314"/>
      <c r="BD543" s="314"/>
      <c r="BE543" s="1315"/>
    </row>
    <row r="544" spans="2:57" x14ac:dyDescent="0.25">
      <c r="B544" s="303"/>
      <c r="C544" s="304" t="s">
        <v>75</v>
      </c>
      <c r="D544" s="304"/>
      <c r="E544" s="304"/>
      <c r="F544" s="304"/>
      <c r="G544" s="314">
        <v>0</v>
      </c>
      <c r="H544" s="314">
        <f t="shared" ref="H544:AM544" si="183">G547</f>
        <v>0</v>
      </c>
      <c r="I544" s="314">
        <f t="shared" si="183"/>
        <v>0</v>
      </c>
      <c r="J544" s="314">
        <f t="shared" si="183"/>
        <v>0</v>
      </c>
      <c r="K544" s="314">
        <f t="shared" si="183"/>
        <v>0</v>
      </c>
      <c r="L544" s="314">
        <f t="shared" si="183"/>
        <v>0</v>
      </c>
      <c r="M544" s="314">
        <f t="shared" si="183"/>
        <v>0</v>
      </c>
      <c r="N544" s="314">
        <f t="shared" si="183"/>
        <v>0</v>
      </c>
      <c r="O544" s="314">
        <f t="shared" si="183"/>
        <v>0</v>
      </c>
      <c r="P544" s="314">
        <f t="shared" si="183"/>
        <v>0</v>
      </c>
      <c r="Q544" s="314">
        <f t="shared" si="183"/>
        <v>0</v>
      </c>
      <c r="R544" s="314">
        <f t="shared" si="183"/>
        <v>0</v>
      </c>
      <c r="S544" s="314">
        <f t="shared" si="183"/>
        <v>0</v>
      </c>
      <c r="T544" s="314">
        <f t="shared" si="183"/>
        <v>0</v>
      </c>
      <c r="U544" s="314">
        <f t="shared" si="183"/>
        <v>0</v>
      </c>
      <c r="V544" s="314">
        <f t="shared" si="183"/>
        <v>0</v>
      </c>
      <c r="W544" s="314">
        <f t="shared" si="183"/>
        <v>0</v>
      </c>
      <c r="X544" s="314">
        <f t="shared" si="183"/>
        <v>0</v>
      </c>
      <c r="Y544" s="314">
        <f t="shared" si="183"/>
        <v>0</v>
      </c>
      <c r="Z544" s="314">
        <f t="shared" si="183"/>
        <v>0</v>
      </c>
      <c r="AA544" s="314">
        <f t="shared" si="183"/>
        <v>0</v>
      </c>
      <c r="AB544" s="314">
        <f t="shared" si="183"/>
        <v>0</v>
      </c>
      <c r="AC544" s="314">
        <f t="shared" si="183"/>
        <v>0</v>
      </c>
      <c r="AD544" s="314">
        <f t="shared" si="183"/>
        <v>0</v>
      </c>
      <c r="AE544" s="314">
        <f t="shared" si="183"/>
        <v>0</v>
      </c>
      <c r="AF544" s="314">
        <f t="shared" si="183"/>
        <v>0</v>
      </c>
      <c r="AG544" s="314">
        <f t="shared" si="183"/>
        <v>0</v>
      </c>
      <c r="AH544" s="314">
        <f t="shared" si="183"/>
        <v>0</v>
      </c>
      <c r="AI544" s="314">
        <f t="shared" si="183"/>
        <v>0</v>
      </c>
      <c r="AJ544" s="314">
        <f t="shared" si="183"/>
        <v>0</v>
      </c>
      <c r="AK544" s="314">
        <f t="shared" si="183"/>
        <v>0</v>
      </c>
      <c r="AL544" s="314">
        <f t="shared" si="183"/>
        <v>0</v>
      </c>
      <c r="AM544" s="314">
        <f t="shared" si="183"/>
        <v>0</v>
      </c>
      <c r="AN544" s="314">
        <f t="shared" ref="AN544:BE544" si="184">AM547</f>
        <v>0</v>
      </c>
      <c r="AO544" s="314">
        <f t="shared" si="184"/>
        <v>0</v>
      </c>
      <c r="AP544" s="314">
        <f t="shared" si="184"/>
        <v>0</v>
      </c>
      <c r="AQ544" s="314">
        <f t="shared" si="184"/>
        <v>0</v>
      </c>
      <c r="AR544" s="314">
        <f t="shared" si="184"/>
        <v>0</v>
      </c>
      <c r="AS544" s="314">
        <f t="shared" si="184"/>
        <v>0</v>
      </c>
      <c r="AT544" s="314">
        <f t="shared" si="184"/>
        <v>0</v>
      </c>
      <c r="AU544" s="314">
        <f t="shared" si="184"/>
        <v>0</v>
      </c>
      <c r="AV544" s="314">
        <f t="shared" si="184"/>
        <v>0</v>
      </c>
      <c r="AW544" s="314">
        <f t="shared" si="184"/>
        <v>0</v>
      </c>
      <c r="AX544" s="314">
        <f t="shared" si="184"/>
        <v>0</v>
      </c>
      <c r="AY544" s="314">
        <f t="shared" si="184"/>
        <v>0</v>
      </c>
      <c r="AZ544" s="314">
        <f t="shared" si="184"/>
        <v>0</v>
      </c>
      <c r="BA544" s="314">
        <f t="shared" si="184"/>
        <v>0</v>
      </c>
      <c r="BB544" s="314">
        <f t="shared" si="184"/>
        <v>0</v>
      </c>
      <c r="BC544" s="314">
        <f t="shared" si="184"/>
        <v>0</v>
      </c>
      <c r="BD544" s="314">
        <f t="shared" si="184"/>
        <v>0</v>
      </c>
      <c r="BE544" s="1315">
        <f t="shared" si="184"/>
        <v>0</v>
      </c>
    </row>
    <row r="545" spans="2:57" x14ac:dyDescent="0.25">
      <c r="B545" s="303"/>
      <c r="C545" s="304" t="s">
        <v>76</v>
      </c>
      <c r="D545" s="304"/>
      <c r="E545" s="304"/>
      <c r="F545" s="304"/>
      <c r="G545" s="314">
        <f>G534</f>
        <v>0</v>
      </c>
      <c r="H545" s="314">
        <v>0</v>
      </c>
      <c r="I545" s="314">
        <v>0</v>
      </c>
      <c r="J545" s="314">
        <v>0</v>
      </c>
      <c r="K545" s="314">
        <v>0</v>
      </c>
      <c r="L545" s="314">
        <v>0</v>
      </c>
      <c r="M545" s="314">
        <v>0</v>
      </c>
      <c r="N545" s="314">
        <v>0</v>
      </c>
      <c r="O545" s="314">
        <v>0</v>
      </c>
      <c r="P545" s="314">
        <v>0</v>
      </c>
      <c r="Q545" s="314">
        <v>0</v>
      </c>
      <c r="R545" s="314">
        <v>0</v>
      </c>
      <c r="S545" s="314">
        <v>0</v>
      </c>
      <c r="T545" s="314">
        <v>0</v>
      </c>
      <c r="U545" s="314">
        <v>0</v>
      </c>
      <c r="V545" s="314">
        <v>0</v>
      </c>
      <c r="W545" s="314">
        <v>0</v>
      </c>
      <c r="X545" s="314">
        <v>0</v>
      </c>
      <c r="Y545" s="314">
        <v>0</v>
      </c>
      <c r="Z545" s="314">
        <v>0</v>
      </c>
      <c r="AA545" s="314">
        <v>0</v>
      </c>
      <c r="AB545" s="314">
        <v>0</v>
      </c>
      <c r="AC545" s="314">
        <v>0</v>
      </c>
      <c r="AD545" s="314">
        <v>0</v>
      </c>
      <c r="AE545" s="314">
        <v>0</v>
      </c>
      <c r="AF545" s="314">
        <v>0</v>
      </c>
      <c r="AG545" s="314">
        <v>0</v>
      </c>
      <c r="AH545" s="314">
        <v>0</v>
      </c>
      <c r="AI545" s="314">
        <v>0</v>
      </c>
      <c r="AJ545" s="314">
        <v>0</v>
      </c>
      <c r="AK545" s="314">
        <v>0</v>
      </c>
      <c r="AL545" s="314">
        <v>0</v>
      </c>
      <c r="AM545" s="314">
        <v>0</v>
      </c>
      <c r="AN545" s="314">
        <v>0</v>
      </c>
      <c r="AO545" s="314">
        <v>0</v>
      </c>
      <c r="AP545" s="314">
        <v>0</v>
      </c>
      <c r="AQ545" s="314">
        <v>0</v>
      </c>
      <c r="AR545" s="314">
        <v>0</v>
      </c>
      <c r="AS545" s="314">
        <v>0</v>
      </c>
      <c r="AT545" s="314">
        <v>0</v>
      </c>
      <c r="AU545" s="314">
        <v>0</v>
      </c>
      <c r="AV545" s="314">
        <v>0</v>
      </c>
      <c r="AW545" s="314">
        <v>0</v>
      </c>
      <c r="AX545" s="314">
        <v>0</v>
      </c>
      <c r="AY545" s="314">
        <v>0</v>
      </c>
      <c r="AZ545" s="314">
        <v>0</v>
      </c>
      <c r="BA545" s="314">
        <v>0</v>
      </c>
      <c r="BB545" s="314">
        <v>0</v>
      </c>
      <c r="BC545" s="314">
        <v>0</v>
      </c>
      <c r="BD545" s="314">
        <v>0</v>
      </c>
      <c r="BE545" s="1315">
        <v>0</v>
      </c>
    </row>
    <row r="546" spans="2:57" x14ac:dyDescent="0.25">
      <c r="B546" s="303"/>
      <c r="C546" s="311" t="s">
        <v>77</v>
      </c>
      <c r="D546" s="311"/>
      <c r="E546" s="311"/>
      <c r="F546" s="311"/>
      <c r="G546" s="1316">
        <v>0</v>
      </c>
      <c r="H546" s="1316">
        <f t="shared" ref="H546:BE546" si="185">-H540</f>
        <v>0</v>
      </c>
      <c r="I546" s="1316">
        <f t="shared" si="185"/>
        <v>0</v>
      </c>
      <c r="J546" s="1316">
        <f t="shared" si="185"/>
        <v>0</v>
      </c>
      <c r="K546" s="1316">
        <f t="shared" si="185"/>
        <v>0</v>
      </c>
      <c r="L546" s="1316">
        <f t="shared" si="185"/>
        <v>0</v>
      </c>
      <c r="M546" s="1316">
        <f t="shared" si="185"/>
        <v>0</v>
      </c>
      <c r="N546" s="1316">
        <f t="shared" si="185"/>
        <v>0</v>
      </c>
      <c r="O546" s="1316">
        <f t="shared" si="185"/>
        <v>0</v>
      </c>
      <c r="P546" s="1316">
        <f t="shared" si="185"/>
        <v>0</v>
      </c>
      <c r="Q546" s="1316">
        <f t="shared" si="185"/>
        <v>0</v>
      </c>
      <c r="R546" s="1316">
        <f t="shared" si="185"/>
        <v>0</v>
      </c>
      <c r="S546" s="1316">
        <f t="shared" si="185"/>
        <v>0</v>
      </c>
      <c r="T546" s="1316">
        <f t="shared" si="185"/>
        <v>0</v>
      </c>
      <c r="U546" s="1316">
        <f t="shared" si="185"/>
        <v>0</v>
      </c>
      <c r="V546" s="1316">
        <f t="shared" si="185"/>
        <v>0</v>
      </c>
      <c r="W546" s="1316">
        <f t="shared" si="185"/>
        <v>0</v>
      </c>
      <c r="X546" s="1316">
        <f t="shared" si="185"/>
        <v>0</v>
      </c>
      <c r="Y546" s="1316">
        <f t="shared" si="185"/>
        <v>0</v>
      </c>
      <c r="Z546" s="1316">
        <f t="shared" si="185"/>
        <v>0</v>
      </c>
      <c r="AA546" s="1316">
        <f t="shared" si="185"/>
        <v>0</v>
      </c>
      <c r="AB546" s="1316">
        <f t="shared" si="185"/>
        <v>0</v>
      </c>
      <c r="AC546" s="1316">
        <f t="shared" si="185"/>
        <v>0</v>
      </c>
      <c r="AD546" s="1316">
        <f t="shared" si="185"/>
        <v>0</v>
      </c>
      <c r="AE546" s="1316">
        <f t="shared" si="185"/>
        <v>0</v>
      </c>
      <c r="AF546" s="1316">
        <f t="shared" si="185"/>
        <v>0</v>
      </c>
      <c r="AG546" s="1316">
        <f t="shared" si="185"/>
        <v>0</v>
      </c>
      <c r="AH546" s="1316">
        <f t="shared" si="185"/>
        <v>0</v>
      </c>
      <c r="AI546" s="1316">
        <f t="shared" si="185"/>
        <v>0</v>
      </c>
      <c r="AJ546" s="1316">
        <f t="shared" si="185"/>
        <v>0</v>
      </c>
      <c r="AK546" s="1316">
        <f t="shared" si="185"/>
        <v>0</v>
      </c>
      <c r="AL546" s="1316">
        <f t="shared" si="185"/>
        <v>0</v>
      </c>
      <c r="AM546" s="1316">
        <f t="shared" si="185"/>
        <v>0</v>
      </c>
      <c r="AN546" s="1316">
        <f t="shared" si="185"/>
        <v>0</v>
      </c>
      <c r="AO546" s="1316">
        <f t="shared" si="185"/>
        <v>0</v>
      </c>
      <c r="AP546" s="1316">
        <f t="shared" si="185"/>
        <v>0</v>
      </c>
      <c r="AQ546" s="1316">
        <f t="shared" si="185"/>
        <v>0</v>
      </c>
      <c r="AR546" s="1316">
        <f t="shared" si="185"/>
        <v>0</v>
      </c>
      <c r="AS546" s="1316">
        <f t="shared" si="185"/>
        <v>0</v>
      </c>
      <c r="AT546" s="1316">
        <f t="shared" si="185"/>
        <v>0</v>
      </c>
      <c r="AU546" s="1316">
        <f t="shared" si="185"/>
        <v>0</v>
      </c>
      <c r="AV546" s="1316">
        <f t="shared" si="185"/>
        <v>0</v>
      </c>
      <c r="AW546" s="1316">
        <f t="shared" si="185"/>
        <v>0</v>
      </c>
      <c r="AX546" s="1316">
        <f t="shared" si="185"/>
        <v>0</v>
      </c>
      <c r="AY546" s="1316">
        <f t="shared" si="185"/>
        <v>0</v>
      </c>
      <c r="AZ546" s="1316">
        <f t="shared" si="185"/>
        <v>0</v>
      </c>
      <c r="BA546" s="1316">
        <f t="shared" si="185"/>
        <v>0</v>
      </c>
      <c r="BB546" s="1316">
        <f t="shared" si="185"/>
        <v>0</v>
      </c>
      <c r="BC546" s="1316">
        <f t="shared" si="185"/>
        <v>0</v>
      </c>
      <c r="BD546" s="1316">
        <f t="shared" si="185"/>
        <v>0</v>
      </c>
      <c r="BE546" s="1317">
        <f t="shared" si="185"/>
        <v>0</v>
      </c>
    </row>
    <row r="547" spans="2:57" x14ac:dyDescent="0.25">
      <c r="B547" s="303"/>
      <c r="C547" s="304" t="s">
        <v>66</v>
      </c>
      <c r="D547" s="304"/>
      <c r="E547" s="304"/>
      <c r="F547" s="304"/>
      <c r="G547" s="314">
        <f t="shared" ref="G547:BE547" si="186">SUM(G544:G546)</f>
        <v>0</v>
      </c>
      <c r="H547" s="314">
        <f t="shared" si="186"/>
        <v>0</v>
      </c>
      <c r="I547" s="314">
        <f t="shared" si="186"/>
        <v>0</v>
      </c>
      <c r="J547" s="314">
        <f t="shared" si="186"/>
        <v>0</v>
      </c>
      <c r="K547" s="314">
        <f t="shared" si="186"/>
        <v>0</v>
      </c>
      <c r="L547" s="314">
        <f t="shared" si="186"/>
        <v>0</v>
      </c>
      <c r="M547" s="314">
        <f t="shared" si="186"/>
        <v>0</v>
      </c>
      <c r="N547" s="314">
        <f t="shared" si="186"/>
        <v>0</v>
      </c>
      <c r="O547" s="314">
        <f t="shared" si="186"/>
        <v>0</v>
      </c>
      <c r="P547" s="314">
        <f t="shared" si="186"/>
        <v>0</v>
      </c>
      <c r="Q547" s="314">
        <f t="shared" si="186"/>
        <v>0</v>
      </c>
      <c r="R547" s="314">
        <f t="shared" si="186"/>
        <v>0</v>
      </c>
      <c r="S547" s="314">
        <f t="shared" si="186"/>
        <v>0</v>
      </c>
      <c r="T547" s="314">
        <f t="shared" si="186"/>
        <v>0</v>
      </c>
      <c r="U547" s="314">
        <f t="shared" si="186"/>
        <v>0</v>
      </c>
      <c r="V547" s="314">
        <f t="shared" si="186"/>
        <v>0</v>
      </c>
      <c r="W547" s="314">
        <f t="shared" si="186"/>
        <v>0</v>
      </c>
      <c r="X547" s="314">
        <f t="shared" si="186"/>
        <v>0</v>
      </c>
      <c r="Y547" s="314">
        <f t="shared" si="186"/>
        <v>0</v>
      </c>
      <c r="Z547" s="314">
        <f t="shared" si="186"/>
        <v>0</v>
      </c>
      <c r="AA547" s="314">
        <f t="shared" si="186"/>
        <v>0</v>
      </c>
      <c r="AB547" s="314">
        <f t="shared" si="186"/>
        <v>0</v>
      </c>
      <c r="AC547" s="314">
        <f t="shared" si="186"/>
        <v>0</v>
      </c>
      <c r="AD547" s="314">
        <f t="shared" si="186"/>
        <v>0</v>
      </c>
      <c r="AE547" s="314">
        <f t="shared" si="186"/>
        <v>0</v>
      </c>
      <c r="AF547" s="314">
        <f t="shared" si="186"/>
        <v>0</v>
      </c>
      <c r="AG547" s="314">
        <f t="shared" si="186"/>
        <v>0</v>
      </c>
      <c r="AH547" s="314">
        <f t="shared" si="186"/>
        <v>0</v>
      </c>
      <c r="AI547" s="314">
        <f t="shared" si="186"/>
        <v>0</v>
      </c>
      <c r="AJ547" s="314">
        <f t="shared" si="186"/>
        <v>0</v>
      </c>
      <c r="AK547" s="314">
        <f t="shared" si="186"/>
        <v>0</v>
      </c>
      <c r="AL547" s="314">
        <f t="shared" si="186"/>
        <v>0</v>
      </c>
      <c r="AM547" s="314">
        <f t="shared" si="186"/>
        <v>0</v>
      </c>
      <c r="AN547" s="314">
        <f t="shared" si="186"/>
        <v>0</v>
      </c>
      <c r="AO547" s="314">
        <f t="shared" si="186"/>
        <v>0</v>
      </c>
      <c r="AP547" s="314">
        <f t="shared" si="186"/>
        <v>0</v>
      </c>
      <c r="AQ547" s="314">
        <f t="shared" si="186"/>
        <v>0</v>
      </c>
      <c r="AR547" s="314">
        <f t="shared" si="186"/>
        <v>0</v>
      </c>
      <c r="AS547" s="314">
        <f t="shared" si="186"/>
        <v>0</v>
      </c>
      <c r="AT547" s="314">
        <f t="shared" si="186"/>
        <v>0</v>
      </c>
      <c r="AU547" s="314">
        <f t="shared" si="186"/>
        <v>0</v>
      </c>
      <c r="AV547" s="314">
        <f t="shared" si="186"/>
        <v>0</v>
      </c>
      <c r="AW547" s="314">
        <f t="shared" si="186"/>
        <v>0</v>
      </c>
      <c r="AX547" s="314">
        <f t="shared" si="186"/>
        <v>0</v>
      </c>
      <c r="AY547" s="314">
        <f t="shared" si="186"/>
        <v>0</v>
      </c>
      <c r="AZ547" s="314">
        <f t="shared" si="186"/>
        <v>0</v>
      </c>
      <c r="BA547" s="314">
        <f t="shared" si="186"/>
        <v>0</v>
      </c>
      <c r="BB547" s="314">
        <f t="shared" si="186"/>
        <v>0</v>
      </c>
      <c r="BC547" s="314">
        <f t="shared" si="186"/>
        <v>0</v>
      </c>
      <c r="BD547" s="314">
        <f t="shared" si="186"/>
        <v>0</v>
      </c>
      <c r="BE547" s="1315">
        <f t="shared" si="186"/>
        <v>0</v>
      </c>
    </row>
    <row r="548" spans="2:57" x14ac:dyDescent="0.25">
      <c r="B548" s="303"/>
      <c r="C548" s="304"/>
      <c r="D548" s="304"/>
      <c r="E548" s="304"/>
      <c r="F548" s="304"/>
      <c r="G548" s="314"/>
      <c r="H548" s="314"/>
      <c r="I548" s="314"/>
      <c r="J548" s="314"/>
      <c r="K548" s="314"/>
      <c r="L548" s="314"/>
      <c r="M548" s="314"/>
      <c r="N548" s="314"/>
      <c r="O548" s="314"/>
      <c r="P548" s="314"/>
      <c r="Q548" s="314"/>
      <c r="R548" s="314"/>
      <c r="S548" s="314"/>
      <c r="T548" s="314"/>
      <c r="U548" s="314"/>
      <c r="V548" s="314"/>
      <c r="W548" s="314"/>
      <c r="X548" s="314"/>
      <c r="Y548" s="314"/>
      <c r="Z548" s="314"/>
      <c r="AA548" s="314"/>
      <c r="AB548" s="314"/>
      <c r="AC548" s="314"/>
      <c r="AD548" s="314"/>
      <c r="AE548" s="314"/>
      <c r="AF548" s="314"/>
      <c r="AG548" s="314"/>
      <c r="AH548" s="314"/>
      <c r="AI548" s="314"/>
      <c r="AJ548" s="314"/>
      <c r="AK548" s="314"/>
      <c r="AL548" s="314"/>
      <c r="AM548" s="314"/>
      <c r="AN548" s="314"/>
      <c r="AO548" s="314"/>
      <c r="AP548" s="314"/>
      <c r="AQ548" s="314"/>
      <c r="AR548" s="314"/>
      <c r="AS548" s="314"/>
      <c r="AT548" s="314"/>
      <c r="AU548" s="314"/>
      <c r="AV548" s="314"/>
      <c r="AW548" s="314"/>
      <c r="AX548" s="314"/>
      <c r="AY548" s="314"/>
      <c r="AZ548" s="314"/>
      <c r="BA548" s="314"/>
      <c r="BB548" s="314"/>
      <c r="BC548" s="314"/>
      <c r="BD548" s="314"/>
      <c r="BE548" s="1315"/>
    </row>
    <row r="549" spans="2:57" x14ac:dyDescent="0.25">
      <c r="B549" s="303"/>
      <c r="C549" s="403" t="s">
        <v>71</v>
      </c>
      <c r="D549" s="304"/>
      <c r="E549" s="304"/>
      <c r="F549" s="304"/>
      <c r="G549" s="314"/>
      <c r="H549" s="314"/>
      <c r="I549" s="314"/>
      <c r="J549" s="314"/>
      <c r="K549" s="314"/>
      <c r="L549" s="314"/>
      <c r="M549" s="314"/>
      <c r="N549" s="314"/>
      <c r="O549" s="314"/>
      <c r="P549" s="314"/>
      <c r="Q549" s="314"/>
      <c r="R549" s="314"/>
      <c r="S549" s="314"/>
      <c r="T549" s="314"/>
      <c r="U549" s="314"/>
      <c r="V549" s="314"/>
      <c r="W549" s="314"/>
      <c r="X549" s="314"/>
      <c r="Y549" s="314"/>
      <c r="Z549" s="314"/>
      <c r="AA549" s="314"/>
      <c r="AB549" s="314"/>
      <c r="AC549" s="314"/>
      <c r="AD549" s="314"/>
      <c r="AE549" s="314"/>
      <c r="AF549" s="314"/>
      <c r="AG549" s="314"/>
      <c r="AH549" s="314"/>
      <c r="AI549" s="314"/>
      <c r="AJ549" s="314"/>
      <c r="AK549" s="314"/>
      <c r="AL549" s="314"/>
      <c r="AM549" s="314"/>
      <c r="AN549" s="314"/>
      <c r="AO549" s="314"/>
      <c r="AP549" s="314"/>
      <c r="AQ549" s="314"/>
      <c r="AR549" s="314"/>
      <c r="AS549" s="314"/>
      <c r="AT549" s="314"/>
      <c r="AU549" s="314"/>
      <c r="AV549" s="314"/>
      <c r="AW549" s="314"/>
      <c r="AX549" s="314"/>
      <c r="AY549" s="314"/>
      <c r="AZ549" s="314"/>
      <c r="BA549" s="314"/>
      <c r="BB549" s="314"/>
      <c r="BC549" s="314"/>
      <c r="BD549" s="314"/>
      <c r="BE549" s="1315"/>
    </row>
    <row r="550" spans="2:57" x14ac:dyDescent="0.25">
      <c r="B550" s="303"/>
      <c r="C550" s="304" t="str">
        <f>'II. Inputs, Baseline Energy Mix'!$E$70</f>
        <v>Front-end Fee</v>
      </c>
      <c r="D550" s="304"/>
      <c r="E550" s="304"/>
      <c r="F550" s="304"/>
      <c r="G550" s="314"/>
      <c r="H550" s="314">
        <f>IF($G534&gt;0, G534*'II. Inputs, Baseline Energy Mix'!$Q$70/10000,0)</f>
        <v>0</v>
      </c>
      <c r="I550" s="314">
        <v>0</v>
      </c>
      <c r="J550" s="314">
        <v>0</v>
      </c>
      <c r="K550" s="314">
        <v>0</v>
      </c>
      <c r="L550" s="314">
        <v>0</v>
      </c>
      <c r="M550" s="314">
        <v>0</v>
      </c>
      <c r="N550" s="314">
        <v>0</v>
      </c>
      <c r="O550" s="314">
        <v>0</v>
      </c>
      <c r="P550" s="314">
        <v>0</v>
      </c>
      <c r="Q550" s="314">
        <v>0</v>
      </c>
      <c r="R550" s="314">
        <v>0</v>
      </c>
      <c r="S550" s="314">
        <v>0</v>
      </c>
      <c r="T550" s="314">
        <v>0</v>
      </c>
      <c r="U550" s="314">
        <v>0</v>
      </c>
      <c r="V550" s="314">
        <v>0</v>
      </c>
      <c r="W550" s="314">
        <v>0</v>
      </c>
      <c r="X550" s="314">
        <v>0</v>
      </c>
      <c r="Y550" s="314">
        <v>0</v>
      </c>
      <c r="Z550" s="314">
        <v>0</v>
      </c>
      <c r="AA550" s="314">
        <v>0</v>
      </c>
      <c r="AB550" s="314">
        <v>0</v>
      </c>
      <c r="AC550" s="314">
        <v>0</v>
      </c>
      <c r="AD550" s="314">
        <v>0</v>
      </c>
      <c r="AE550" s="314">
        <v>0</v>
      </c>
      <c r="AF550" s="314">
        <v>0</v>
      </c>
      <c r="AG550" s="314">
        <v>0</v>
      </c>
      <c r="AH550" s="314">
        <v>0</v>
      </c>
      <c r="AI550" s="314">
        <v>0</v>
      </c>
      <c r="AJ550" s="314">
        <v>0</v>
      </c>
      <c r="AK550" s="314">
        <v>0</v>
      </c>
      <c r="AL550" s="314">
        <v>0</v>
      </c>
      <c r="AM550" s="314">
        <v>0</v>
      </c>
      <c r="AN550" s="314">
        <v>0</v>
      </c>
      <c r="AO550" s="314">
        <v>0</v>
      </c>
      <c r="AP550" s="314">
        <v>0</v>
      </c>
      <c r="AQ550" s="314">
        <v>0</v>
      </c>
      <c r="AR550" s="314">
        <v>0</v>
      </c>
      <c r="AS550" s="314">
        <v>0</v>
      </c>
      <c r="AT550" s="314">
        <v>0</v>
      </c>
      <c r="AU550" s="314">
        <v>0</v>
      </c>
      <c r="AV550" s="314">
        <v>0</v>
      </c>
      <c r="AW550" s="314">
        <v>0</v>
      </c>
      <c r="AX550" s="314">
        <v>0</v>
      </c>
      <c r="AY550" s="314">
        <v>0</v>
      </c>
      <c r="AZ550" s="314">
        <v>0</v>
      </c>
      <c r="BA550" s="314">
        <v>0</v>
      </c>
      <c r="BB550" s="314">
        <v>0</v>
      </c>
      <c r="BC550" s="314">
        <v>0</v>
      </c>
      <c r="BD550" s="314">
        <v>0</v>
      </c>
      <c r="BE550" s="1315">
        <v>0</v>
      </c>
    </row>
    <row r="551" spans="2:57" x14ac:dyDescent="0.25">
      <c r="B551" s="303"/>
      <c r="C551" s="304"/>
      <c r="D551" s="304"/>
      <c r="E551" s="304"/>
      <c r="F551" s="304"/>
      <c r="G551" s="304"/>
      <c r="H551" s="304"/>
      <c r="I551" s="304"/>
      <c r="J551" s="304"/>
      <c r="K551" s="304"/>
      <c r="L551" s="304"/>
      <c r="M551" s="304"/>
      <c r="N551" s="304"/>
      <c r="O551" s="304"/>
      <c r="P551" s="304"/>
      <c r="Q551" s="304"/>
      <c r="R551" s="304"/>
      <c r="S551" s="304"/>
      <c r="T551" s="304"/>
      <c r="U551" s="304"/>
      <c r="V551" s="304"/>
      <c r="W551" s="304"/>
      <c r="X551" s="304"/>
      <c r="Y551" s="304"/>
      <c r="Z551" s="304"/>
      <c r="AA551" s="304"/>
      <c r="AB551" s="304"/>
      <c r="AC551" s="304"/>
      <c r="AD551" s="304"/>
      <c r="AE551" s="304"/>
      <c r="AF551" s="304"/>
      <c r="AG551" s="304"/>
      <c r="AH551" s="304"/>
      <c r="AI551" s="304"/>
      <c r="AJ551" s="304"/>
      <c r="AK551" s="304"/>
      <c r="AL551" s="304"/>
      <c r="AM551" s="304"/>
      <c r="AN551" s="304"/>
      <c r="AO551" s="304"/>
      <c r="AP551" s="304"/>
      <c r="AQ551" s="304"/>
      <c r="AR551" s="304"/>
      <c r="AS551" s="304"/>
      <c r="AT551" s="304"/>
      <c r="AU551" s="304"/>
      <c r="AV551" s="304"/>
      <c r="AW551" s="304"/>
      <c r="AX551" s="304"/>
      <c r="AY551" s="304"/>
      <c r="AZ551" s="304"/>
      <c r="BA551" s="304"/>
      <c r="BB551" s="304"/>
      <c r="BC551" s="304"/>
      <c r="BD551" s="304"/>
      <c r="BE551" s="305"/>
    </row>
    <row r="552" spans="2:57" x14ac:dyDescent="0.25">
      <c r="B552" s="315" t="s">
        <v>179</v>
      </c>
      <c r="C552" s="304"/>
      <c r="D552" s="304"/>
      <c r="E552" s="304"/>
      <c r="F552" s="304"/>
      <c r="G552" s="304"/>
      <c r="H552" s="304"/>
      <c r="I552" s="304"/>
      <c r="J552" s="304"/>
      <c r="K552" s="304"/>
      <c r="L552" s="304"/>
      <c r="M552" s="304"/>
      <c r="N552" s="304"/>
      <c r="O552" s="304"/>
      <c r="P552" s="304"/>
      <c r="Q552" s="304"/>
      <c r="R552" s="304"/>
      <c r="S552" s="304"/>
      <c r="T552" s="304"/>
      <c r="U552" s="304"/>
      <c r="V552" s="304"/>
      <c r="W552" s="304"/>
      <c r="X552" s="304"/>
      <c r="Y552" s="304"/>
      <c r="Z552" s="304"/>
      <c r="AA552" s="304"/>
      <c r="AB552" s="304"/>
      <c r="AC552" s="304"/>
      <c r="AD552" s="304"/>
      <c r="AE552" s="304"/>
      <c r="AF552" s="304"/>
      <c r="AG552" s="304"/>
      <c r="AH552" s="304"/>
      <c r="AI552" s="304"/>
      <c r="AJ552" s="304"/>
      <c r="AK552" s="304"/>
      <c r="AL552" s="304"/>
      <c r="AM552" s="304"/>
      <c r="AN552" s="304"/>
      <c r="AO552" s="304"/>
      <c r="AP552" s="304"/>
      <c r="AQ552" s="304"/>
      <c r="AR552" s="304"/>
      <c r="AS552" s="304"/>
      <c r="AT552" s="304"/>
      <c r="AU552" s="304"/>
      <c r="AV552" s="304"/>
      <c r="AW552" s="304"/>
      <c r="AX552" s="304"/>
      <c r="AY552" s="304"/>
      <c r="AZ552" s="304"/>
      <c r="BA552" s="304"/>
      <c r="BB552" s="304"/>
      <c r="BC552" s="304"/>
      <c r="BD552" s="304"/>
      <c r="BE552" s="305"/>
    </row>
    <row r="553" spans="2:57" x14ac:dyDescent="0.25">
      <c r="B553" s="303"/>
      <c r="C553" s="400" t="s">
        <v>68</v>
      </c>
      <c r="D553" s="307" t="s">
        <v>22</v>
      </c>
      <c r="E553" s="304"/>
      <c r="F553" s="304"/>
      <c r="G553" s="314">
        <f>IF('II. Inputs, Baseline Energy Mix'!$Q$15&gt;0,('II. Inputs, Baseline Energy Mix'!$Q$16*'II. Inputs, Baseline Energy Mix'!$Q$17*'II. Inputs, Baseline Energy Mix'!$Q$30*'II. Inputs, Baseline Energy Mix'!$Q$33),0)</f>
        <v>0</v>
      </c>
      <c r="H553" s="304"/>
      <c r="I553" s="304"/>
      <c r="J553" s="304"/>
      <c r="K553" s="304"/>
      <c r="L553" s="304"/>
      <c r="M553" s="304"/>
      <c r="N553" s="304"/>
      <c r="O553" s="304"/>
      <c r="P553" s="304"/>
      <c r="Q553" s="304"/>
      <c r="R553" s="304"/>
      <c r="S553" s="304"/>
      <c r="T553" s="304"/>
      <c r="U553" s="304"/>
      <c r="V553" s="304"/>
      <c r="W553" s="304"/>
      <c r="X553" s="304"/>
      <c r="Y553" s="304"/>
      <c r="Z553" s="304"/>
      <c r="AA553" s="304"/>
      <c r="AB553" s="304"/>
      <c r="AC553" s="304"/>
      <c r="AD553" s="304"/>
      <c r="AE553" s="304"/>
      <c r="AF553" s="304"/>
      <c r="AG553" s="304"/>
      <c r="AH553" s="304"/>
      <c r="AI553" s="304"/>
      <c r="AJ553" s="304"/>
      <c r="AK553" s="304"/>
      <c r="AL553" s="304"/>
      <c r="AM553" s="304"/>
      <c r="AN553" s="304"/>
      <c r="AO553" s="304"/>
      <c r="AP553" s="304"/>
      <c r="AQ553" s="304"/>
      <c r="AR553" s="304"/>
      <c r="AS553" s="304"/>
      <c r="AT553" s="304"/>
      <c r="AU553" s="304"/>
      <c r="AV553" s="304"/>
      <c r="AW553" s="304"/>
      <c r="AX553" s="304"/>
      <c r="AY553" s="304"/>
      <c r="AZ553" s="304"/>
      <c r="BA553" s="304"/>
      <c r="BB553" s="304"/>
      <c r="BC553" s="304"/>
      <c r="BD553" s="304"/>
      <c r="BE553" s="305"/>
    </row>
    <row r="554" spans="2:57" x14ac:dyDescent="0.25">
      <c r="B554" s="303"/>
      <c r="C554" s="400" t="s">
        <v>69</v>
      </c>
      <c r="D554" s="307" t="s">
        <v>20</v>
      </c>
      <c r="E554" s="304"/>
      <c r="F554" s="304"/>
      <c r="G554" s="306">
        <f>SUM('II. Inputs, Baseline Energy Mix'!$Q$73)</f>
        <v>0</v>
      </c>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304"/>
      <c r="AL554" s="304"/>
      <c r="AM554" s="304"/>
      <c r="AN554" s="304"/>
      <c r="AO554" s="304"/>
      <c r="AP554" s="304"/>
      <c r="AQ554" s="304"/>
      <c r="AR554" s="304"/>
      <c r="AS554" s="304"/>
      <c r="AT554" s="304"/>
      <c r="AU554" s="304"/>
      <c r="AV554" s="304"/>
      <c r="AW554" s="304"/>
      <c r="AX554" s="304"/>
      <c r="AY554" s="304"/>
      <c r="AZ554" s="304"/>
      <c r="BA554" s="304"/>
      <c r="BB554" s="304"/>
      <c r="BC554" s="304"/>
      <c r="BD554" s="304"/>
      <c r="BE554" s="305"/>
    </row>
    <row r="555" spans="2:57" x14ac:dyDescent="0.25">
      <c r="B555" s="303"/>
      <c r="C555" s="400" t="s">
        <v>70</v>
      </c>
      <c r="D555" s="307" t="s">
        <v>16</v>
      </c>
      <c r="E555" s="304"/>
      <c r="F555" s="304"/>
      <c r="G555" s="401">
        <f>SUM('II. Inputs, Baseline Energy Mix'!$Q$72)</f>
        <v>0</v>
      </c>
      <c r="H555" s="304"/>
      <c r="I555" s="304"/>
      <c r="J555" s="304"/>
      <c r="K555" s="304"/>
      <c r="L555" s="304"/>
      <c r="M555" s="304"/>
      <c r="N555" s="304"/>
      <c r="O555" s="304"/>
      <c r="P555" s="304"/>
      <c r="Q555" s="304"/>
      <c r="R555" s="304"/>
      <c r="S555" s="304"/>
      <c r="T555" s="304"/>
      <c r="U555" s="304"/>
      <c r="V555" s="304"/>
      <c r="W555" s="304"/>
      <c r="X555" s="304"/>
      <c r="Y555" s="304"/>
      <c r="Z555" s="304"/>
      <c r="AA555" s="304"/>
      <c r="AB555" s="304"/>
      <c r="AC555" s="304"/>
      <c r="AD555" s="304"/>
      <c r="AE555" s="304"/>
      <c r="AF555" s="304"/>
      <c r="AG555" s="304"/>
      <c r="AH555" s="304"/>
      <c r="AI555" s="304"/>
      <c r="AJ555" s="304"/>
      <c r="AK555" s="304"/>
      <c r="AL555" s="304"/>
      <c r="AM555" s="304"/>
      <c r="AN555" s="304"/>
      <c r="AO555" s="304"/>
      <c r="AP555" s="304"/>
      <c r="AQ555" s="304"/>
      <c r="AR555" s="304"/>
      <c r="AS555" s="304"/>
      <c r="AT555" s="304"/>
      <c r="AU555" s="304"/>
      <c r="AV555" s="304"/>
      <c r="AW555" s="304"/>
      <c r="AX555" s="304"/>
      <c r="AY555" s="304"/>
      <c r="AZ555" s="304"/>
      <c r="BA555" s="304"/>
      <c r="BB555" s="304"/>
      <c r="BC555" s="304"/>
      <c r="BD555" s="304"/>
      <c r="BE555" s="305"/>
    </row>
    <row r="556" spans="2:57" x14ac:dyDescent="0.25">
      <c r="B556" s="303"/>
      <c r="C556" s="400" t="str">
        <f>'II. Inputs, Baseline Energy Mix'!$E$75</f>
        <v>Guarantee Coverage, as a % of Commercial Loan Value</v>
      </c>
      <c r="D556" s="307" t="s">
        <v>16</v>
      </c>
      <c r="E556" s="304"/>
      <c r="F556" s="304"/>
      <c r="G556" s="404">
        <f>SUM('II. Inputs, Baseline Energy Mix'!$Q$75)</f>
        <v>0</v>
      </c>
      <c r="H556" s="304"/>
      <c r="I556" s="304"/>
      <c r="J556" s="304"/>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304"/>
      <c r="AL556" s="304"/>
      <c r="AM556" s="304"/>
      <c r="AN556" s="304"/>
      <c r="AO556" s="304"/>
      <c r="AP556" s="304"/>
      <c r="AQ556" s="304"/>
      <c r="AR556" s="304"/>
      <c r="AS556" s="304"/>
      <c r="AT556" s="304"/>
      <c r="AU556" s="304"/>
      <c r="AV556" s="304"/>
      <c r="AW556" s="304"/>
      <c r="AX556" s="304"/>
      <c r="AY556" s="304"/>
      <c r="AZ556" s="304"/>
      <c r="BA556" s="304"/>
      <c r="BB556" s="304"/>
      <c r="BC556" s="304"/>
      <c r="BD556" s="304"/>
      <c r="BE556" s="305"/>
    </row>
    <row r="557" spans="2:57" x14ac:dyDescent="0.25">
      <c r="B557" s="303"/>
      <c r="C557" s="400" t="str">
        <f>'II. Inputs, Baseline Energy Mix'!$E$76</f>
        <v xml:space="preserve">Term of Public Guarantee Coverage </v>
      </c>
      <c r="D557" s="307" t="s">
        <v>20</v>
      </c>
      <c r="E557" s="304"/>
      <c r="F557" s="304"/>
      <c r="G557" s="306">
        <f>'II. Inputs, Baseline Energy Mix'!$Q$76</f>
        <v>0</v>
      </c>
      <c r="H557" s="304"/>
      <c r="I557" s="304"/>
      <c r="J557" s="304"/>
      <c r="K557" s="304"/>
      <c r="L557" s="304"/>
      <c r="M557" s="304"/>
      <c r="N557" s="304"/>
      <c r="O557" s="304"/>
      <c r="P557" s="304"/>
      <c r="Q557" s="304"/>
      <c r="R557" s="304"/>
      <c r="S557" s="304"/>
      <c r="T557" s="304"/>
      <c r="U557" s="304"/>
      <c r="V557" s="304"/>
      <c r="W557" s="304"/>
      <c r="X557" s="304"/>
      <c r="Y557" s="304"/>
      <c r="Z557" s="304"/>
      <c r="AA557" s="304"/>
      <c r="AB557" s="304"/>
      <c r="AC557" s="304"/>
      <c r="AD557" s="304"/>
      <c r="AE557" s="304"/>
      <c r="AF557" s="304"/>
      <c r="AG557" s="304"/>
      <c r="AH557" s="304"/>
      <c r="AI557" s="304"/>
      <c r="AJ557" s="304"/>
      <c r="AK557" s="304"/>
      <c r="AL557" s="304"/>
      <c r="AM557" s="304"/>
      <c r="AN557" s="304"/>
      <c r="AO557" s="304"/>
      <c r="AP557" s="304"/>
      <c r="AQ557" s="304"/>
      <c r="AR557" s="304"/>
      <c r="AS557" s="304"/>
      <c r="AT557" s="304"/>
      <c r="AU557" s="304"/>
      <c r="AV557" s="304"/>
      <c r="AW557" s="304"/>
      <c r="AX557" s="304"/>
      <c r="AY557" s="304"/>
      <c r="AZ557" s="304"/>
      <c r="BA557" s="304"/>
      <c r="BB557" s="304"/>
      <c r="BC557" s="304"/>
      <c r="BD557" s="304"/>
      <c r="BE557" s="305"/>
    </row>
    <row r="558" spans="2:57" x14ac:dyDescent="0.25">
      <c r="B558" s="303"/>
      <c r="C558" s="304"/>
      <c r="D558" s="304"/>
      <c r="E558" s="304"/>
      <c r="F558" s="304"/>
      <c r="G558" s="304"/>
      <c r="H558" s="304"/>
      <c r="I558" s="304"/>
      <c r="J558" s="304"/>
      <c r="K558" s="304"/>
      <c r="L558" s="304"/>
      <c r="M558" s="304"/>
      <c r="N558" s="304"/>
      <c r="O558" s="304"/>
      <c r="P558" s="304"/>
      <c r="Q558" s="304"/>
      <c r="R558" s="304"/>
      <c r="S558" s="304"/>
      <c r="T558" s="304"/>
      <c r="U558" s="304"/>
      <c r="V558" s="304"/>
      <c r="W558" s="304"/>
      <c r="X558" s="304"/>
      <c r="Y558" s="304"/>
      <c r="Z558" s="304"/>
      <c r="AA558" s="304"/>
      <c r="AB558" s="304"/>
      <c r="AC558" s="304"/>
      <c r="AD558" s="304"/>
      <c r="AE558" s="304"/>
      <c r="AF558" s="304"/>
      <c r="AG558" s="304"/>
      <c r="AH558" s="304"/>
      <c r="AI558" s="304"/>
      <c r="AJ558" s="304"/>
      <c r="AK558" s="304"/>
      <c r="AL558" s="304"/>
      <c r="AM558" s="304"/>
      <c r="AN558" s="304"/>
      <c r="AO558" s="304"/>
      <c r="AP558" s="304"/>
      <c r="AQ558" s="304"/>
      <c r="AR558" s="304"/>
      <c r="AS558" s="304"/>
      <c r="AT558" s="304"/>
      <c r="AU558" s="304"/>
      <c r="AV558" s="304"/>
      <c r="AW558" s="304"/>
      <c r="AX558" s="304"/>
      <c r="AY558" s="304"/>
      <c r="AZ558" s="304"/>
      <c r="BA558" s="304"/>
      <c r="BB558" s="304"/>
      <c r="BC558" s="304"/>
      <c r="BD558" s="304"/>
      <c r="BE558" s="305"/>
    </row>
    <row r="559" spans="2:57" x14ac:dyDescent="0.25">
      <c r="B559" s="303"/>
      <c r="C559" s="402" t="s">
        <v>67</v>
      </c>
      <c r="D559" s="304"/>
      <c r="E559" s="304"/>
      <c r="F559" s="304"/>
      <c r="G559" s="304"/>
      <c r="H559" s="304"/>
      <c r="I559" s="304"/>
      <c r="J559" s="304"/>
      <c r="K559" s="304"/>
      <c r="L559" s="304"/>
      <c r="M559" s="304"/>
      <c r="N559" s="304"/>
      <c r="O559" s="304"/>
      <c r="P559" s="304"/>
      <c r="Q559" s="304"/>
      <c r="R559" s="304"/>
      <c r="S559" s="304"/>
      <c r="T559" s="304"/>
      <c r="U559" s="304"/>
      <c r="V559" s="304"/>
      <c r="W559" s="304"/>
      <c r="X559" s="304"/>
      <c r="Y559" s="304"/>
      <c r="Z559" s="304"/>
      <c r="AA559" s="304"/>
      <c r="AB559" s="304"/>
      <c r="AC559" s="304"/>
      <c r="AD559" s="304"/>
      <c r="AE559" s="304"/>
      <c r="AF559" s="304"/>
      <c r="AG559" s="304"/>
      <c r="AH559" s="304"/>
      <c r="AI559" s="304"/>
      <c r="AJ559" s="304"/>
      <c r="AK559" s="304"/>
      <c r="AL559" s="304"/>
      <c r="AM559" s="304"/>
      <c r="AN559" s="304"/>
      <c r="AO559" s="304"/>
      <c r="AP559" s="304"/>
      <c r="AQ559" s="304"/>
      <c r="AR559" s="304"/>
      <c r="AS559" s="304"/>
      <c r="AT559" s="304"/>
      <c r="AU559" s="304"/>
      <c r="AV559" s="304"/>
      <c r="AW559" s="304"/>
      <c r="AX559" s="304"/>
      <c r="AY559" s="304"/>
      <c r="AZ559" s="304"/>
      <c r="BA559" s="304"/>
      <c r="BB559" s="304"/>
      <c r="BC559" s="304"/>
      <c r="BD559" s="304"/>
      <c r="BE559" s="305"/>
    </row>
    <row r="560" spans="2:57" x14ac:dyDescent="0.25">
      <c r="B560" s="303"/>
      <c r="C560" s="304" t="s">
        <v>73</v>
      </c>
      <c r="D560" s="304"/>
      <c r="E560" s="304"/>
      <c r="F560" s="304"/>
      <c r="G560" s="314"/>
      <c r="H560" s="314">
        <f>IF(H$299&gt;$G554,0,IPMT($G555,H$299,$G554,-$G553))</f>
        <v>0</v>
      </c>
      <c r="I560" s="314">
        <f t="shared" ref="I560:BE560" si="187">IF(I$299&gt;$G554,0,IPMT($G555,I$299,$G554,-$G553))</f>
        <v>0</v>
      </c>
      <c r="J560" s="314">
        <f t="shared" si="187"/>
        <v>0</v>
      </c>
      <c r="K560" s="314">
        <f t="shared" si="187"/>
        <v>0</v>
      </c>
      <c r="L560" s="314">
        <f t="shared" si="187"/>
        <v>0</v>
      </c>
      <c r="M560" s="314">
        <f t="shared" si="187"/>
        <v>0</v>
      </c>
      <c r="N560" s="314">
        <f t="shared" si="187"/>
        <v>0</v>
      </c>
      <c r="O560" s="314">
        <f t="shared" si="187"/>
        <v>0</v>
      </c>
      <c r="P560" s="314">
        <f t="shared" si="187"/>
        <v>0</v>
      </c>
      <c r="Q560" s="314">
        <f t="shared" si="187"/>
        <v>0</v>
      </c>
      <c r="R560" s="314">
        <f t="shared" si="187"/>
        <v>0</v>
      </c>
      <c r="S560" s="314">
        <f t="shared" si="187"/>
        <v>0</v>
      </c>
      <c r="T560" s="314">
        <f t="shared" si="187"/>
        <v>0</v>
      </c>
      <c r="U560" s="314">
        <f t="shared" si="187"/>
        <v>0</v>
      </c>
      <c r="V560" s="314">
        <f t="shared" si="187"/>
        <v>0</v>
      </c>
      <c r="W560" s="314">
        <f t="shared" si="187"/>
        <v>0</v>
      </c>
      <c r="X560" s="314">
        <f t="shared" si="187"/>
        <v>0</v>
      </c>
      <c r="Y560" s="314">
        <f t="shared" si="187"/>
        <v>0</v>
      </c>
      <c r="Z560" s="314">
        <f t="shared" si="187"/>
        <v>0</v>
      </c>
      <c r="AA560" s="314">
        <f t="shared" si="187"/>
        <v>0</v>
      </c>
      <c r="AB560" s="314">
        <f t="shared" si="187"/>
        <v>0</v>
      </c>
      <c r="AC560" s="314">
        <f t="shared" si="187"/>
        <v>0</v>
      </c>
      <c r="AD560" s="314">
        <f t="shared" si="187"/>
        <v>0</v>
      </c>
      <c r="AE560" s="314">
        <f t="shared" si="187"/>
        <v>0</v>
      </c>
      <c r="AF560" s="314">
        <f t="shared" si="187"/>
        <v>0</v>
      </c>
      <c r="AG560" s="314">
        <f t="shared" si="187"/>
        <v>0</v>
      </c>
      <c r="AH560" s="314">
        <f t="shared" si="187"/>
        <v>0</v>
      </c>
      <c r="AI560" s="314">
        <f t="shared" si="187"/>
        <v>0</v>
      </c>
      <c r="AJ560" s="314">
        <f t="shared" si="187"/>
        <v>0</v>
      </c>
      <c r="AK560" s="314">
        <f t="shared" si="187"/>
        <v>0</v>
      </c>
      <c r="AL560" s="314">
        <f t="shared" si="187"/>
        <v>0</v>
      </c>
      <c r="AM560" s="314">
        <f t="shared" si="187"/>
        <v>0</v>
      </c>
      <c r="AN560" s="314">
        <f t="shared" si="187"/>
        <v>0</v>
      </c>
      <c r="AO560" s="314">
        <f t="shared" si="187"/>
        <v>0</v>
      </c>
      <c r="AP560" s="314">
        <f t="shared" si="187"/>
        <v>0</v>
      </c>
      <c r="AQ560" s="314">
        <f t="shared" si="187"/>
        <v>0</v>
      </c>
      <c r="AR560" s="314">
        <f t="shared" si="187"/>
        <v>0</v>
      </c>
      <c r="AS560" s="314">
        <f t="shared" si="187"/>
        <v>0</v>
      </c>
      <c r="AT560" s="314">
        <f t="shared" si="187"/>
        <v>0</v>
      </c>
      <c r="AU560" s="314">
        <f t="shared" si="187"/>
        <v>0</v>
      </c>
      <c r="AV560" s="314">
        <f t="shared" si="187"/>
        <v>0</v>
      </c>
      <c r="AW560" s="314">
        <f t="shared" si="187"/>
        <v>0</v>
      </c>
      <c r="AX560" s="314">
        <f t="shared" si="187"/>
        <v>0</v>
      </c>
      <c r="AY560" s="314">
        <f t="shared" si="187"/>
        <v>0</v>
      </c>
      <c r="AZ560" s="314">
        <f t="shared" si="187"/>
        <v>0</v>
      </c>
      <c r="BA560" s="314">
        <f t="shared" si="187"/>
        <v>0</v>
      </c>
      <c r="BB560" s="314">
        <f t="shared" si="187"/>
        <v>0</v>
      </c>
      <c r="BC560" s="314">
        <f t="shared" si="187"/>
        <v>0</v>
      </c>
      <c r="BD560" s="314">
        <f t="shared" si="187"/>
        <v>0</v>
      </c>
      <c r="BE560" s="1315">
        <f t="shared" si="187"/>
        <v>0</v>
      </c>
    </row>
    <row r="561" spans="2:57" x14ac:dyDescent="0.25">
      <c r="B561" s="303"/>
      <c r="C561" s="311" t="s">
        <v>72</v>
      </c>
      <c r="D561" s="311"/>
      <c r="E561" s="311"/>
      <c r="F561" s="311"/>
      <c r="G561" s="1316"/>
      <c r="H561" s="1316">
        <f>IF(H$299&gt;$G554,0,PPMT($G555,H$299,$G554,-$G553))</f>
        <v>0</v>
      </c>
      <c r="I561" s="1316">
        <f t="shared" ref="I561:BE561" si="188">IF(I$299&gt;$G554,0,PPMT($G555,I$299,$G554,-$G553))</f>
        <v>0</v>
      </c>
      <c r="J561" s="1316">
        <f t="shared" si="188"/>
        <v>0</v>
      </c>
      <c r="K561" s="1316">
        <f t="shared" si="188"/>
        <v>0</v>
      </c>
      <c r="L561" s="1316">
        <f t="shared" si="188"/>
        <v>0</v>
      </c>
      <c r="M561" s="1316">
        <f t="shared" si="188"/>
        <v>0</v>
      </c>
      <c r="N561" s="1316">
        <f t="shared" si="188"/>
        <v>0</v>
      </c>
      <c r="O561" s="1316">
        <f t="shared" si="188"/>
        <v>0</v>
      </c>
      <c r="P561" s="1316">
        <f t="shared" si="188"/>
        <v>0</v>
      </c>
      <c r="Q561" s="1316">
        <f t="shared" si="188"/>
        <v>0</v>
      </c>
      <c r="R561" s="1316">
        <f t="shared" si="188"/>
        <v>0</v>
      </c>
      <c r="S561" s="1316">
        <f t="shared" si="188"/>
        <v>0</v>
      </c>
      <c r="T561" s="1316">
        <f t="shared" si="188"/>
        <v>0</v>
      </c>
      <c r="U561" s="1316">
        <f t="shared" si="188"/>
        <v>0</v>
      </c>
      <c r="V561" s="1316">
        <f t="shared" si="188"/>
        <v>0</v>
      </c>
      <c r="W561" s="1316">
        <f t="shared" si="188"/>
        <v>0</v>
      </c>
      <c r="X561" s="1316">
        <f t="shared" si="188"/>
        <v>0</v>
      </c>
      <c r="Y561" s="1316">
        <f t="shared" si="188"/>
        <v>0</v>
      </c>
      <c r="Z561" s="1316">
        <f t="shared" si="188"/>
        <v>0</v>
      </c>
      <c r="AA561" s="1316">
        <f t="shared" si="188"/>
        <v>0</v>
      </c>
      <c r="AB561" s="1316">
        <f t="shared" si="188"/>
        <v>0</v>
      </c>
      <c r="AC561" s="1316">
        <f t="shared" si="188"/>
        <v>0</v>
      </c>
      <c r="AD561" s="1316">
        <f t="shared" si="188"/>
        <v>0</v>
      </c>
      <c r="AE561" s="1316">
        <f t="shared" si="188"/>
        <v>0</v>
      </c>
      <c r="AF561" s="1316">
        <f t="shared" si="188"/>
        <v>0</v>
      </c>
      <c r="AG561" s="1316">
        <f t="shared" si="188"/>
        <v>0</v>
      </c>
      <c r="AH561" s="1316">
        <f t="shared" si="188"/>
        <v>0</v>
      </c>
      <c r="AI561" s="1316">
        <f t="shared" si="188"/>
        <v>0</v>
      </c>
      <c r="AJ561" s="1316">
        <f t="shared" si="188"/>
        <v>0</v>
      </c>
      <c r="AK561" s="1316">
        <f t="shared" si="188"/>
        <v>0</v>
      </c>
      <c r="AL561" s="1316">
        <f t="shared" si="188"/>
        <v>0</v>
      </c>
      <c r="AM561" s="1316">
        <f t="shared" si="188"/>
        <v>0</v>
      </c>
      <c r="AN561" s="1316">
        <f t="shared" si="188"/>
        <v>0</v>
      </c>
      <c r="AO561" s="1316">
        <f t="shared" si="188"/>
        <v>0</v>
      </c>
      <c r="AP561" s="1316">
        <f t="shared" si="188"/>
        <v>0</v>
      </c>
      <c r="AQ561" s="1316">
        <f t="shared" si="188"/>
        <v>0</v>
      </c>
      <c r="AR561" s="1316">
        <f t="shared" si="188"/>
        <v>0</v>
      </c>
      <c r="AS561" s="1316">
        <f t="shared" si="188"/>
        <v>0</v>
      </c>
      <c r="AT561" s="1316">
        <f t="shared" si="188"/>
        <v>0</v>
      </c>
      <c r="AU561" s="1316">
        <f t="shared" si="188"/>
        <v>0</v>
      </c>
      <c r="AV561" s="1316">
        <f t="shared" si="188"/>
        <v>0</v>
      </c>
      <c r="AW561" s="1316">
        <f t="shared" si="188"/>
        <v>0</v>
      </c>
      <c r="AX561" s="1316">
        <f t="shared" si="188"/>
        <v>0</v>
      </c>
      <c r="AY561" s="1316">
        <f t="shared" si="188"/>
        <v>0</v>
      </c>
      <c r="AZ561" s="1316">
        <f t="shared" si="188"/>
        <v>0</v>
      </c>
      <c r="BA561" s="1316">
        <f t="shared" si="188"/>
        <v>0</v>
      </c>
      <c r="BB561" s="1316">
        <f t="shared" si="188"/>
        <v>0</v>
      </c>
      <c r="BC561" s="1316">
        <f t="shared" si="188"/>
        <v>0</v>
      </c>
      <c r="BD561" s="1316">
        <f t="shared" si="188"/>
        <v>0</v>
      </c>
      <c r="BE561" s="1317">
        <f t="shared" si="188"/>
        <v>0</v>
      </c>
    </row>
    <row r="562" spans="2:57" x14ac:dyDescent="0.25">
      <c r="B562" s="303"/>
      <c r="C562" s="304" t="s">
        <v>74</v>
      </c>
      <c r="D562" s="304"/>
      <c r="E562" s="304"/>
      <c r="F562" s="304"/>
      <c r="G562" s="314"/>
      <c r="H562" s="314">
        <f>SUM(H560:H561)</f>
        <v>0</v>
      </c>
      <c r="I562" s="314">
        <f t="shared" ref="I562:BE562" si="189">SUM(I560:I561)</f>
        <v>0</v>
      </c>
      <c r="J562" s="314">
        <f t="shared" si="189"/>
        <v>0</v>
      </c>
      <c r="K562" s="314">
        <f t="shared" si="189"/>
        <v>0</v>
      </c>
      <c r="L562" s="314">
        <f t="shared" si="189"/>
        <v>0</v>
      </c>
      <c r="M562" s="314">
        <f t="shared" si="189"/>
        <v>0</v>
      </c>
      <c r="N562" s="314">
        <f t="shared" si="189"/>
        <v>0</v>
      </c>
      <c r="O562" s="314">
        <f t="shared" si="189"/>
        <v>0</v>
      </c>
      <c r="P562" s="314">
        <f t="shared" si="189"/>
        <v>0</v>
      </c>
      <c r="Q562" s="314">
        <f t="shared" si="189"/>
        <v>0</v>
      </c>
      <c r="R562" s="314">
        <f t="shared" si="189"/>
        <v>0</v>
      </c>
      <c r="S562" s="314">
        <f t="shared" si="189"/>
        <v>0</v>
      </c>
      <c r="T562" s="314">
        <f t="shared" si="189"/>
        <v>0</v>
      </c>
      <c r="U562" s="314">
        <f t="shared" si="189"/>
        <v>0</v>
      </c>
      <c r="V562" s="314">
        <f t="shared" si="189"/>
        <v>0</v>
      </c>
      <c r="W562" s="314">
        <f t="shared" si="189"/>
        <v>0</v>
      </c>
      <c r="X562" s="314">
        <f t="shared" si="189"/>
        <v>0</v>
      </c>
      <c r="Y562" s="314">
        <f t="shared" si="189"/>
        <v>0</v>
      </c>
      <c r="Z562" s="314">
        <f t="shared" si="189"/>
        <v>0</v>
      </c>
      <c r="AA562" s="314">
        <f t="shared" si="189"/>
        <v>0</v>
      </c>
      <c r="AB562" s="314">
        <f t="shared" si="189"/>
        <v>0</v>
      </c>
      <c r="AC562" s="314">
        <f t="shared" si="189"/>
        <v>0</v>
      </c>
      <c r="AD562" s="314">
        <f t="shared" si="189"/>
        <v>0</v>
      </c>
      <c r="AE562" s="314">
        <f t="shared" si="189"/>
        <v>0</v>
      </c>
      <c r="AF562" s="314">
        <f t="shared" si="189"/>
        <v>0</v>
      </c>
      <c r="AG562" s="314">
        <f t="shared" si="189"/>
        <v>0</v>
      </c>
      <c r="AH562" s="314">
        <f t="shared" si="189"/>
        <v>0</v>
      </c>
      <c r="AI562" s="314">
        <f t="shared" si="189"/>
        <v>0</v>
      </c>
      <c r="AJ562" s="314">
        <f t="shared" si="189"/>
        <v>0</v>
      </c>
      <c r="AK562" s="314">
        <f t="shared" si="189"/>
        <v>0</v>
      </c>
      <c r="AL562" s="314">
        <f t="shared" si="189"/>
        <v>0</v>
      </c>
      <c r="AM562" s="314">
        <f t="shared" si="189"/>
        <v>0</v>
      </c>
      <c r="AN562" s="314">
        <f t="shared" si="189"/>
        <v>0</v>
      </c>
      <c r="AO562" s="314">
        <f t="shared" si="189"/>
        <v>0</v>
      </c>
      <c r="AP562" s="314">
        <f t="shared" si="189"/>
        <v>0</v>
      </c>
      <c r="AQ562" s="314">
        <f t="shared" si="189"/>
        <v>0</v>
      </c>
      <c r="AR562" s="314">
        <f t="shared" si="189"/>
        <v>0</v>
      </c>
      <c r="AS562" s="314">
        <f t="shared" si="189"/>
        <v>0</v>
      </c>
      <c r="AT562" s="314">
        <f t="shared" si="189"/>
        <v>0</v>
      </c>
      <c r="AU562" s="314">
        <f t="shared" si="189"/>
        <v>0</v>
      </c>
      <c r="AV562" s="314">
        <f t="shared" si="189"/>
        <v>0</v>
      </c>
      <c r="AW562" s="314">
        <f t="shared" si="189"/>
        <v>0</v>
      </c>
      <c r="AX562" s="314">
        <f t="shared" si="189"/>
        <v>0</v>
      </c>
      <c r="AY562" s="314">
        <f t="shared" si="189"/>
        <v>0</v>
      </c>
      <c r="AZ562" s="314">
        <f t="shared" si="189"/>
        <v>0</v>
      </c>
      <c r="BA562" s="314">
        <f t="shared" si="189"/>
        <v>0</v>
      </c>
      <c r="BB562" s="314">
        <f t="shared" si="189"/>
        <v>0</v>
      </c>
      <c r="BC562" s="314">
        <f t="shared" si="189"/>
        <v>0</v>
      </c>
      <c r="BD562" s="314">
        <f t="shared" si="189"/>
        <v>0</v>
      </c>
      <c r="BE562" s="1315">
        <f t="shared" si="189"/>
        <v>0</v>
      </c>
    </row>
    <row r="563" spans="2:57" x14ac:dyDescent="0.25">
      <c r="B563" s="303"/>
      <c r="C563" s="304"/>
      <c r="D563" s="304"/>
      <c r="E563" s="304"/>
      <c r="F563" s="304"/>
      <c r="G563" s="314"/>
      <c r="H563" s="314"/>
      <c r="I563" s="314"/>
      <c r="J563" s="314"/>
      <c r="K563" s="314"/>
      <c r="L563" s="314"/>
      <c r="M563" s="314"/>
      <c r="N563" s="314"/>
      <c r="O563" s="314"/>
      <c r="P563" s="314"/>
      <c r="Q563" s="314"/>
      <c r="R563" s="314"/>
      <c r="S563" s="314"/>
      <c r="T563" s="314"/>
      <c r="U563" s="314"/>
      <c r="V563" s="314"/>
      <c r="W563" s="314"/>
      <c r="X563" s="314"/>
      <c r="Y563" s="314"/>
      <c r="Z563" s="314"/>
      <c r="AA563" s="314"/>
      <c r="AB563" s="314"/>
      <c r="AC563" s="314"/>
      <c r="AD563" s="314"/>
      <c r="AE563" s="314"/>
      <c r="AF563" s="314"/>
      <c r="AG563" s="314"/>
      <c r="AH563" s="314"/>
      <c r="AI563" s="314"/>
      <c r="AJ563" s="314"/>
      <c r="AK563" s="314"/>
      <c r="AL563" s="314"/>
      <c r="AM563" s="314"/>
      <c r="AN563" s="314"/>
      <c r="AO563" s="314"/>
      <c r="AP563" s="314"/>
      <c r="AQ563" s="314"/>
      <c r="AR563" s="314"/>
      <c r="AS563" s="314"/>
      <c r="AT563" s="314"/>
      <c r="AU563" s="314"/>
      <c r="AV563" s="314"/>
      <c r="AW563" s="314"/>
      <c r="AX563" s="314"/>
      <c r="AY563" s="314"/>
      <c r="AZ563" s="314"/>
      <c r="BA563" s="314"/>
      <c r="BB563" s="314"/>
      <c r="BC563" s="314"/>
      <c r="BD563" s="314"/>
      <c r="BE563" s="1315"/>
    </row>
    <row r="564" spans="2:57" x14ac:dyDescent="0.25">
      <c r="B564" s="303"/>
      <c r="C564" s="403" t="s">
        <v>65</v>
      </c>
      <c r="D564" s="304"/>
      <c r="E564" s="304"/>
      <c r="F564" s="304"/>
      <c r="G564" s="314"/>
      <c r="H564" s="314"/>
      <c r="I564" s="314"/>
      <c r="J564" s="314"/>
      <c r="K564" s="314"/>
      <c r="L564" s="314"/>
      <c r="M564" s="314"/>
      <c r="N564" s="314"/>
      <c r="O564" s="314"/>
      <c r="P564" s="314"/>
      <c r="Q564" s="314"/>
      <c r="R564" s="314"/>
      <c r="S564" s="314"/>
      <c r="T564" s="314"/>
      <c r="U564" s="314"/>
      <c r="V564" s="314"/>
      <c r="W564" s="314"/>
      <c r="X564" s="314"/>
      <c r="Y564" s="314"/>
      <c r="Z564" s="314"/>
      <c r="AA564" s="314"/>
      <c r="AB564" s="314"/>
      <c r="AC564" s="314"/>
      <c r="AD564" s="314"/>
      <c r="AE564" s="314"/>
      <c r="AF564" s="314"/>
      <c r="AG564" s="314"/>
      <c r="AH564" s="314"/>
      <c r="AI564" s="314"/>
      <c r="AJ564" s="314"/>
      <c r="AK564" s="314"/>
      <c r="AL564" s="314"/>
      <c r="AM564" s="314"/>
      <c r="AN564" s="314"/>
      <c r="AO564" s="314"/>
      <c r="AP564" s="314"/>
      <c r="AQ564" s="314"/>
      <c r="AR564" s="314"/>
      <c r="AS564" s="314"/>
      <c r="AT564" s="314"/>
      <c r="AU564" s="314"/>
      <c r="AV564" s="314"/>
      <c r="AW564" s="314"/>
      <c r="AX564" s="314"/>
      <c r="AY564" s="314"/>
      <c r="AZ564" s="314"/>
      <c r="BA564" s="314"/>
      <c r="BB564" s="314"/>
      <c r="BC564" s="314"/>
      <c r="BD564" s="314"/>
      <c r="BE564" s="1315"/>
    </row>
    <row r="565" spans="2:57" x14ac:dyDescent="0.25">
      <c r="B565" s="303"/>
      <c r="C565" s="304" t="s">
        <v>75</v>
      </c>
      <c r="D565" s="304"/>
      <c r="E565" s="304"/>
      <c r="F565" s="304"/>
      <c r="G565" s="314">
        <v>0</v>
      </c>
      <c r="H565" s="314">
        <f t="shared" ref="H565:AM565" si="190">G568</f>
        <v>0</v>
      </c>
      <c r="I565" s="314">
        <f t="shared" si="190"/>
        <v>0</v>
      </c>
      <c r="J565" s="314">
        <f t="shared" si="190"/>
        <v>0</v>
      </c>
      <c r="K565" s="314">
        <f t="shared" si="190"/>
        <v>0</v>
      </c>
      <c r="L565" s="314">
        <f t="shared" si="190"/>
        <v>0</v>
      </c>
      <c r="M565" s="314">
        <f t="shared" si="190"/>
        <v>0</v>
      </c>
      <c r="N565" s="314">
        <f t="shared" si="190"/>
        <v>0</v>
      </c>
      <c r="O565" s="314">
        <f t="shared" si="190"/>
        <v>0</v>
      </c>
      <c r="P565" s="314">
        <f t="shared" si="190"/>
        <v>0</v>
      </c>
      <c r="Q565" s="314">
        <f t="shared" si="190"/>
        <v>0</v>
      </c>
      <c r="R565" s="314">
        <f t="shared" si="190"/>
        <v>0</v>
      </c>
      <c r="S565" s="314">
        <f t="shared" si="190"/>
        <v>0</v>
      </c>
      <c r="T565" s="314">
        <f t="shared" si="190"/>
        <v>0</v>
      </c>
      <c r="U565" s="314">
        <f t="shared" si="190"/>
        <v>0</v>
      </c>
      <c r="V565" s="314">
        <f t="shared" si="190"/>
        <v>0</v>
      </c>
      <c r="W565" s="314">
        <f t="shared" si="190"/>
        <v>0</v>
      </c>
      <c r="X565" s="314">
        <f t="shared" si="190"/>
        <v>0</v>
      </c>
      <c r="Y565" s="314">
        <f t="shared" si="190"/>
        <v>0</v>
      </c>
      <c r="Z565" s="314">
        <f t="shared" si="190"/>
        <v>0</v>
      </c>
      <c r="AA565" s="314">
        <f t="shared" si="190"/>
        <v>0</v>
      </c>
      <c r="AB565" s="314">
        <f t="shared" si="190"/>
        <v>0</v>
      </c>
      <c r="AC565" s="314">
        <f t="shared" si="190"/>
        <v>0</v>
      </c>
      <c r="AD565" s="314">
        <f t="shared" si="190"/>
        <v>0</v>
      </c>
      <c r="AE565" s="314">
        <f t="shared" si="190"/>
        <v>0</v>
      </c>
      <c r="AF565" s="314">
        <f t="shared" si="190"/>
        <v>0</v>
      </c>
      <c r="AG565" s="314">
        <f t="shared" si="190"/>
        <v>0</v>
      </c>
      <c r="AH565" s="314">
        <f t="shared" si="190"/>
        <v>0</v>
      </c>
      <c r="AI565" s="314">
        <f t="shared" si="190"/>
        <v>0</v>
      </c>
      <c r="AJ565" s="314">
        <f t="shared" si="190"/>
        <v>0</v>
      </c>
      <c r="AK565" s="314">
        <f t="shared" si="190"/>
        <v>0</v>
      </c>
      <c r="AL565" s="314">
        <f t="shared" si="190"/>
        <v>0</v>
      </c>
      <c r="AM565" s="314">
        <f t="shared" si="190"/>
        <v>0</v>
      </c>
      <c r="AN565" s="314">
        <f t="shared" ref="AN565:BE565" si="191">AM568</f>
        <v>0</v>
      </c>
      <c r="AO565" s="314">
        <f t="shared" si="191"/>
        <v>0</v>
      </c>
      <c r="AP565" s="314">
        <f t="shared" si="191"/>
        <v>0</v>
      </c>
      <c r="AQ565" s="314">
        <f t="shared" si="191"/>
        <v>0</v>
      </c>
      <c r="AR565" s="314">
        <f t="shared" si="191"/>
        <v>0</v>
      </c>
      <c r="AS565" s="314">
        <f t="shared" si="191"/>
        <v>0</v>
      </c>
      <c r="AT565" s="314">
        <f t="shared" si="191"/>
        <v>0</v>
      </c>
      <c r="AU565" s="314">
        <f t="shared" si="191"/>
        <v>0</v>
      </c>
      <c r="AV565" s="314">
        <f t="shared" si="191"/>
        <v>0</v>
      </c>
      <c r="AW565" s="314">
        <f t="shared" si="191"/>
        <v>0</v>
      </c>
      <c r="AX565" s="314">
        <f t="shared" si="191"/>
        <v>0</v>
      </c>
      <c r="AY565" s="314">
        <f t="shared" si="191"/>
        <v>0</v>
      </c>
      <c r="AZ565" s="314">
        <f t="shared" si="191"/>
        <v>0</v>
      </c>
      <c r="BA565" s="314">
        <f t="shared" si="191"/>
        <v>0</v>
      </c>
      <c r="BB565" s="314">
        <f t="shared" si="191"/>
        <v>0</v>
      </c>
      <c r="BC565" s="314">
        <f t="shared" si="191"/>
        <v>0</v>
      </c>
      <c r="BD565" s="314">
        <f t="shared" si="191"/>
        <v>0</v>
      </c>
      <c r="BE565" s="1315">
        <f t="shared" si="191"/>
        <v>0</v>
      </c>
    </row>
    <row r="566" spans="2:57" x14ac:dyDescent="0.25">
      <c r="B566" s="303"/>
      <c r="C566" s="304" t="s">
        <v>76</v>
      </c>
      <c r="D566" s="304"/>
      <c r="E566" s="304"/>
      <c r="F566" s="304"/>
      <c r="G566" s="314">
        <f>G553</f>
        <v>0</v>
      </c>
      <c r="H566" s="314">
        <v>0</v>
      </c>
      <c r="I566" s="314">
        <v>0</v>
      </c>
      <c r="J566" s="314">
        <v>0</v>
      </c>
      <c r="K566" s="314">
        <v>0</v>
      </c>
      <c r="L566" s="314">
        <v>0</v>
      </c>
      <c r="M566" s="314">
        <v>0</v>
      </c>
      <c r="N566" s="314">
        <v>0</v>
      </c>
      <c r="O566" s="314">
        <v>0</v>
      </c>
      <c r="P566" s="314">
        <v>0</v>
      </c>
      <c r="Q566" s="314">
        <v>0</v>
      </c>
      <c r="R566" s="314">
        <v>0</v>
      </c>
      <c r="S566" s="314">
        <v>0</v>
      </c>
      <c r="T566" s="314">
        <v>0</v>
      </c>
      <c r="U566" s="314">
        <v>0</v>
      </c>
      <c r="V566" s="314">
        <v>0</v>
      </c>
      <c r="W566" s="314">
        <v>0</v>
      </c>
      <c r="X566" s="314">
        <v>0</v>
      </c>
      <c r="Y566" s="314">
        <v>0</v>
      </c>
      <c r="Z566" s="314">
        <v>0</v>
      </c>
      <c r="AA566" s="314">
        <v>0</v>
      </c>
      <c r="AB566" s="314">
        <v>0</v>
      </c>
      <c r="AC566" s="314">
        <v>0</v>
      </c>
      <c r="AD566" s="314">
        <v>0</v>
      </c>
      <c r="AE566" s="314">
        <v>0</v>
      </c>
      <c r="AF566" s="314">
        <v>0</v>
      </c>
      <c r="AG566" s="314">
        <v>0</v>
      </c>
      <c r="AH566" s="314">
        <v>0</v>
      </c>
      <c r="AI566" s="314">
        <v>0</v>
      </c>
      <c r="AJ566" s="314">
        <v>0</v>
      </c>
      <c r="AK566" s="314">
        <v>0</v>
      </c>
      <c r="AL566" s="314">
        <v>0</v>
      </c>
      <c r="AM566" s="314">
        <v>0</v>
      </c>
      <c r="AN566" s="314">
        <v>0</v>
      </c>
      <c r="AO566" s="314">
        <v>0</v>
      </c>
      <c r="AP566" s="314">
        <v>0</v>
      </c>
      <c r="AQ566" s="314">
        <v>0</v>
      </c>
      <c r="AR566" s="314">
        <v>0</v>
      </c>
      <c r="AS566" s="314">
        <v>0</v>
      </c>
      <c r="AT566" s="314">
        <v>0</v>
      </c>
      <c r="AU566" s="314">
        <v>0</v>
      </c>
      <c r="AV566" s="314">
        <v>0</v>
      </c>
      <c r="AW566" s="314">
        <v>0</v>
      </c>
      <c r="AX566" s="314">
        <v>0</v>
      </c>
      <c r="AY566" s="314">
        <v>0</v>
      </c>
      <c r="AZ566" s="314">
        <v>0</v>
      </c>
      <c r="BA566" s="314">
        <v>0</v>
      </c>
      <c r="BB566" s="314">
        <v>0</v>
      </c>
      <c r="BC566" s="314">
        <v>0</v>
      </c>
      <c r="BD566" s="314">
        <v>0</v>
      </c>
      <c r="BE566" s="1315">
        <v>0</v>
      </c>
    </row>
    <row r="567" spans="2:57" x14ac:dyDescent="0.25">
      <c r="B567" s="303"/>
      <c r="C567" s="311" t="s">
        <v>77</v>
      </c>
      <c r="D567" s="311"/>
      <c r="E567" s="311"/>
      <c r="F567" s="311"/>
      <c r="G567" s="1316">
        <v>0</v>
      </c>
      <c r="H567" s="1316">
        <f>-H561</f>
        <v>0</v>
      </c>
      <c r="I567" s="1316">
        <f t="shared" ref="I567:BE567" si="192">-I561</f>
        <v>0</v>
      </c>
      <c r="J567" s="1316">
        <f t="shared" si="192"/>
        <v>0</v>
      </c>
      <c r="K567" s="1316">
        <f t="shared" si="192"/>
        <v>0</v>
      </c>
      <c r="L567" s="1316">
        <f t="shared" si="192"/>
        <v>0</v>
      </c>
      <c r="M567" s="1316">
        <f t="shared" si="192"/>
        <v>0</v>
      </c>
      <c r="N567" s="1316">
        <f t="shared" si="192"/>
        <v>0</v>
      </c>
      <c r="O567" s="1316">
        <f t="shared" si="192"/>
        <v>0</v>
      </c>
      <c r="P567" s="1316">
        <f t="shared" si="192"/>
        <v>0</v>
      </c>
      <c r="Q567" s="1316">
        <f t="shared" si="192"/>
        <v>0</v>
      </c>
      <c r="R567" s="1316">
        <f t="shared" si="192"/>
        <v>0</v>
      </c>
      <c r="S567" s="1316">
        <f t="shared" si="192"/>
        <v>0</v>
      </c>
      <c r="T567" s="1316">
        <f t="shared" si="192"/>
        <v>0</v>
      </c>
      <c r="U567" s="1316">
        <f t="shared" si="192"/>
        <v>0</v>
      </c>
      <c r="V567" s="1316">
        <f t="shared" si="192"/>
        <v>0</v>
      </c>
      <c r="W567" s="1316">
        <f t="shared" si="192"/>
        <v>0</v>
      </c>
      <c r="X567" s="1316">
        <f t="shared" si="192"/>
        <v>0</v>
      </c>
      <c r="Y567" s="1316">
        <f t="shared" si="192"/>
        <v>0</v>
      </c>
      <c r="Z567" s="1316">
        <f t="shared" si="192"/>
        <v>0</v>
      </c>
      <c r="AA567" s="1316">
        <f t="shared" si="192"/>
        <v>0</v>
      </c>
      <c r="AB567" s="1316">
        <f t="shared" si="192"/>
        <v>0</v>
      </c>
      <c r="AC567" s="1316">
        <f t="shared" si="192"/>
        <v>0</v>
      </c>
      <c r="AD567" s="1316">
        <f t="shared" si="192"/>
        <v>0</v>
      </c>
      <c r="AE567" s="1316">
        <f t="shared" si="192"/>
        <v>0</v>
      </c>
      <c r="AF567" s="1316">
        <f t="shared" si="192"/>
        <v>0</v>
      </c>
      <c r="AG567" s="1316">
        <f t="shared" si="192"/>
        <v>0</v>
      </c>
      <c r="AH567" s="1316">
        <f t="shared" si="192"/>
        <v>0</v>
      </c>
      <c r="AI567" s="1316">
        <f t="shared" si="192"/>
        <v>0</v>
      </c>
      <c r="AJ567" s="1316">
        <f t="shared" si="192"/>
        <v>0</v>
      </c>
      <c r="AK567" s="1316">
        <f t="shared" si="192"/>
        <v>0</v>
      </c>
      <c r="AL567" s="1316">
        <f t="shared" si="192"/>
        <v>0</v>
      </c>
      <c r="AM567" s="1316">
        <f t="shared" si="192"/>
        <v>0</v>
      </c>
      <c r="AN567" s="1316">
        <f t="shared" si="192"/>
        <v>0</v>
      </c>
      <c r="AO567" s="1316">
        <f t="shared" si="192"/>
        <v>0</v>
      </c>
      <c r="AP567" s="1316">
        <f t="shared" si="192"/>
        <v>0</v>
      </c>
      <c r="AQ567" s="1316">
        <f t="shared" si="192"/>
        <v>0</v>
      </c>
      <c r="AR567" s="1316">
        <f t="shared" si="192"/>
        <v>0</v>
      </c>
      <c r="AS567" s="1316">
        <f t="shared" si="192"/>
        <v>0</v>
      </c>
      <c r="AT567" s="1316">
        <f t="shared" si="192"/>
        <v>0</v>
      </c>
      <c r="AU567" s="1316">
        <f t="shared" si="192"/>
        <v>0</v>
      </c>
      <c r="AV567" s="1316">
        <f t="shared" si="192"/>
        <v>0</v>
      </c>
      <c r="AW567" s="1316">
        <f t="shared" si="192"/>
        <v>0</v>
      </c>
      <c r="AX567" s="1316">
        <f t="shared" si="192"/>
        <v>0</v>
      </c>
      <c r="AY567" s="1316">
        <f t="shared" si="192"/>
        <v>0</v>
      </c>
      <c r="AZ567" s="1316">
        <f t="shared" si="192"/>
        <v>0</v>
      </c>
      <c r="BA567" s="1316">
        <f t="shared" si="192"/>
        <v>0</v>
      </c>
      <c r="BB567" s="1316">
        <f t="shared" si="192"/>
        <v>0</v>
      </c>
      <c r="BC567" s="1316">
        <f t="shared" si="192"/>
        <v>0</v>
      </c>
      <c r="BD567" s="1316">
        <f t="shared" si="192"/>
        <v>0</v>
      </c>
      <c r="BE567" s="1317">
        <f t="shared" si="192"/>
        <v>0</v>
      </c>
    </row>
    <row r="568" spans="2:57" x14ac:dyDescent="0.25">
      <c r="B568" s="303"/>
      <c r="C568" s="304" t="s">
        <v>66</v>
      </c>
      <c r="D568" s="304"/>
      <c r="E568" s="304"/>
      <c r="F568" s="304"/>
      <c r="G568" s="314">
        <f>SUM(G565:G567)</f>
        <v>0</v>
      </c>
      <c r="H568" s="314">
        <f>SUM(H565:H567)</f>
        <v>0</v>
      </c>
      <c r="I568" s="314">
        <f t="shared" ref="I568:BE568" si="193">SUM(I565:I567)</f>
        <v>0</v>
      </c>
      <c r="J568" s="314">
        <f t="shared" si="193"/>
        <v>0</v>
      </c>
      <c r="K568" s="314">
        <f t="shared" si="193"/>
        <v>0</v>
      </c>
      <c r="L568" s="314">
        <f t="shared" si="193"/>
        <v>0</v>
      </c>
      <c r="M568" s="314">
        <f t="shared" si="193"/>
        <v>0</v>
      </c>
      <c r="N568" s="314">
        <f t="shared" si="193"/>
        <v>0</v>
      </c>
      <c r="O568" s="314">
        <f t="shared" si="193"/>
        <v>0</v>
      </c>
      <c r="P568" s="314">
        <f t="shared" si="193"/>
        <v>0</v>
      </c>
      <c r="Q568" s="314">
        <f t="shared" si="193"/>
        <v>0</v>
      </c>
      <c r="R568" s="314">
        <f t="shared" si="193"/>
        <v>0</v>
      </c>
      <c r="S568" s="314">
        <f t="shared" si="193"/>
        <v>0</v>
      </c>
      <c r="T568" s="314">
        <f t="shared" si="193"/>
        <v>0</v>
      </c>
      <c r="U568" s="314">
        <f t="shared" si="193"/>
        <v>0</v>
      </c>
      <c r="V568" s="314">
        <f t="shared" si="193"/>
        <v>0</v>
      </c>
      <c r="W568" s="314">
        <f t="shared" si="193"/>
        <v>0</v>
      </c>
      <c r="X568" s="314">
        <f t="shared" si="193"/>
        <v>0</v>
      </c>
      <c r="Y568" s="314">
        <f t="shared" si="193"/>
        <v>0</v>
      </c>
      <c r="Z568" s="314">
        <f t="shared" si="193"/>
        <v>0</v>
      </c>
      <c r="AA568" s="314">
        <f t="shared" si="193"/>
        <v>0</v>
      </c>
      <c r="AB568" s="314">
        <f t="shared" si="193"/>
        <v>0</v>
      </c>
      <c r="AC568" s="314">
        <f t="shared" si="193"/>
        <v>0</v>
      </c>
      <c r="AD568" s="314">
        <f t="shared" si="193"/>
        <v>0</v>
      </c>
      <c r="AE568" s="314">
        <f t="shared" si="193"/>
        <v>0</v>
      </c>
      <c r="AF568" s="314">
        <f t="shared" si="193"/>
        <v>0</v>
      </c>
      <c r="AG568" s="314">
        <f t="shared" si="193"/>
        <v>0</v>
      </c>
      <c r="AH568" s="314">
        <f t="shared" si="193"/>
        <v>0</v>
      </c>
      <c r="AI568" s="314">
        <f t="shared" si="193"/>
        <v>0</v>
      </c>
      <c r="AJ568" s="314">
        <f t="shared" si="193"/>
        <v>0</v>
      </c>
      <c r="AK568" s="314">
        <f t="shared" si="193"/>
        <v>0</v>
      </c>
      <c r="AL568" s="314">
        <f t="shared" si="193"/>
        <v>0</v>
      </c>
      <c r="AM568" s="314">
        <f t="shared" si="193"/>
        <v>0</v>
      </c>
      <c r="AN568" s="314">
        <f t="shared" si="193"/>
        <v>0</v>
      </c>
      <c r="AO568" s="314">
        <f t="shared" si="193"/>
        <v>0</v>
      </c>
      <c r="AP568" s="314">
        <f t="shared" si="193"/>
        <v>0</v>
      </c>
      <c r="AQ568" s="314">
        <f t="shared" si="193"/>
        <v>0</v>
      </c>
      <c r="AR568" s="314">
        <f t="shared" si="193"/>
        <v>0</v>
      </c>
      <c r="AS568" s="314">
        <f t="shared" si="193"/>
        <v>0</v>
      </c>
      <c r="AT568" s="314">
        <f t="shared" si="193"/>
        <v>0</v>
      </c>
      <c r="AU568" s="314">
        <f t="shared" si="193"/>
        <v>0</v>
      </c>
      <c r="AV568" s="314">
        <f t="shared" si="193"/>
        <v>0</v>
      </c>
      <c r="AW568" s="314">
        <f t="shared" si="193"/>
        <v>0</v>
      </c>
      <c r="AX568" s="314">
        <f t="shared" si="193"/>
        <v>0</v>
      </c>
      <c r="AY568" s="314">
        <f t="shared" si="193"/>
        <v>0</v>
      </c>
      <c r="AZ568" s="314">
        <f t="shared" si="193"/>
        <v>0</v>
      </c>
      <c r="BA568" s="314">
        <f t="shared" si="193"/>
        <v>0</v>
      </c>
      <c r="BB568" s="314">
        <f t="shared" si="193"/>
        <v>0</v>
      </c>
      <c r="BC568" s="314">
        <f t="shared" si="193"/>
        <v>0</v>
      </c>
      <c r="BD568" s="314">
        <f t="shared" si="193"/>
        <v>0</v>
      </c>
      <c r="BE568" s="1315">
        <f t="shared" si="193"/>
        <v>0</v>
      </c>
    </row>
    <row r="569" spans="2:57" x14ac:dyDescent="0.25">
      <c r="B569" s="303"/>
      <c r="C569" s="304"/>
      <c r="D569" s="304"/>
      <c r="E569" s="304"/>
      <c r="F569" s="304"/>
      <c r="G569" s="314"/>
      <c r="H569" s="314"/>
      <c r="I569" s="314"/>
      <c r="J569" s="314"/>
      <c r="K569" s="314"/>
      <c r="L569" s="314"/>
      <c r="M569" s="314"/>
      <c r="N569" s="314"/>
      <c r="O569" s="314"/>
      <c r="P569" s="314"/>
      <c r="Q569" s="314"/>
      <c r="R569" s="314"/>
      <c r="S569" s="314"/>
      <c r="T569" s="314"/>
      <c r="U569" s="314"/>
      <c r="V569" s="314"/>
      <c r="W569" s="314"/>
      <c r="X569" s="314"/>
      <c r="Y569" s="314"/>
      <c r="Z569" s="314"/>
      <c r="AA569" s="314"/>
      <c r="AB569" s="314"/>
      <c r="AC569" s="314"/>
      <c r="AD569" s="314"/>
      <c r="AE569" s="314"/>
      <c r="AF569" s="314"/>
      <c r="AG569" s="314"/>
      <c r="AH569" s="314"/>
      <c r="AI569" s="314"/>
      <c r="AJ569" s="314"/>
      <c r="AK569" s="314"/>
      <c r="AL569" s="314"/>
      <c r="AM569" s="314"/>
      <c r="AN569" s="314"/>
      <c r="AO569" s="314"/>
      <c r="AP569" s="314"/>
      <c r="AQ569" s="314"/>
      <c r="AR569" s="314"/>
      <c r="AS569" s="314"/>
      <c r="AT569" s="314"/>
      <c r="AU569" s="314"/>
      <c r="AV569" s="314"/>
      <c r="AW569" s="314"/>
      <c r="AX569" s="314"/>
      <c r="AY569" s="314"/>
      <c r="AZ569" s="314"/>
      <c r="BA569" s="314"/>
      <c r="BB569" s="314"/>
      <c r="BC569" s="314"/>
      <c r="BD569" s="314"/>
      <c r="BE569" s="1315"/>
    </row>
    <row r="570" spans="2:57" x14ac:dyDescent="0.25">
      <c r="B570" s="303"/>
      <c r="C570" s="403" t="s">
        <v>71</v>
      </c>
      <c r="D570" s="304"/>
      <c r="E570" s="304"/>
      <c r="F570" s="304"/>
      <c r="G570" s="314"/>
      <c r="H570" s="314"/>
      <c r="I570" s="314"/>
      <c r="J570" s="314"/>
      <c r="K570" s="314"/>
      <c r="L570" s="314"/>
      <c r="M570" s="314"/>
      <c r="N570" s="314"/>
      <c r="O570" s="314"/>
      <c r="P570" s="314"/>
      <c r="Q570" s="314"/>
      <c r="R570" s="314"/>
      <c r="S570" s="314"/>
      <c r="T570" s="314"/>
      <c r="U570" s="314"/>
      <c r="V570" s="314"/>
      <c r="W570" s="314"/>
      <c r="X570" s="314"/>
      <c r="Y570" s="314"/>
      <c r="Z570" s="314"/>
      <c r="AA570" s="314"/>
      <c r="AB570" s="314"/>
      <c r="AC570" s="314"/>
      <c r="AD570" s="314"/>
      <c r="AE570" s="314"/>
      <c r="AF570" s="314"/>
      <c r="AG570" s="314"/>
      <c r="AH570" s="314"/>
      <c r="AI570" s="314"/>
      <c r="AJ570" s="314"/>
      <c r="AK570" s="314"/>
      <c r="AL570" s="314"/>
      <c r="AM570" s="314"/>
      <c r="AN570" s="314"/>
      <c r="AO570" s="314"/>
      <c r="AP570" s="314"/>
      <c r="AQ570" s="314"/>
      <c r="AR570" s="314"/>
      <c r="AS570" s="314"/>
      <c r="AT570" s="314"/>
      <c r="AU570" s="314"/>
      <c r="AV570" s="314"/>
      <c r="AW570" s="314"/>
      <c r="AX570" s="314"/>
      <c r="AY570" s="314"/>
      <c r="AZ570" s="314"/>
      <c r="BA570" s="314"/>
      <c r="BB570" s="314"/>
      <c r="BC570" s="314"/>
      <c r="BD570" s="314"/>
      <c r="BE570" s="1315"/>
    </row>
    <row r="571" spans="2:57" x14ac:dyDescent="0.25">
      <c r="B571" s="303"/>
      <c r="C571" s="304" t="s">
        <v>233</v>
      </c>
      <c r="D571" s="304"/>
      <c r="E571" s="304"/>
      <c r="F571" s="304"/>
      <c r="G571" s="314"/>
      <c r="H571" s="314">
        <f>IF($G553&gt;0, $G553*'II. Inputs, Baseline Energy Mix'!$Q$74/10000,0)</f>
        <v>0</v>
      </c>
      <c r="I571" s="314">
        <v>0</v>
      </c>
      <c r="J571" s="314">
        <v>0</v>
      </c>
      <c r="K571" s="314">
        <v>0</v>
      </c>
      <c r="L571" s="314">
        <v>0</v>
      </c>
      <c r="M571" s="314">
        <v>0</v>
      </c>
      <c r="N571" s="314">
        <v>0</v>
      </c>
      <c r="O571" s="314">
        <v>0</v>
      </c>
      <c r="P571" s="314">
        <v>0</v>
      </c>
      <c r="Q571" s="314">
        <v>0</v>
      </c>
      <c r="R571" s="314">
        <v>0</v>
      </c>
      <c r="S571" s="314">
        <v>0</v>
      </c>
      <c r="T571" s="314">
        <v>0</v>
      </c>
      <c r="U571" s="314">
        <v>0</v>
      </c>
      <c r="V571" s="314">
        <v>0</v>
      </c>
      <c r="W571" s="314">
        <v>0</v>
      </c>
      <c r="X571" s="314">
        <v>0</v>
      </c>
      <c r="Y571" s="314">
        <v>0</v>
      </c>
      <c r="Z571" s="314">
        <v>0</v>
      </c>
      <c r="AA571" s="314">
        <v>0</v>
      </c>
      <c r="AB571" s="314">
        <v>0</v>
      </c>
      <c r="AC571" s="314">
        <v>0</v>
      </c>
      <c r="AD571" s="314">
        <v>0</v>
      </c>
      <c r="AE571" s="314">
        <v>0</v>
      </c>
      <c r="AF571" s="314">
        <v>0</v>
      </c>
      <c r="AG571" s="314">
        <v>0</v>
      </c>
      <c r="AH571" s="314">
        <v>0</v>
      </c>
      <c r="AI571" s="314">
        <v>0</v>
      </c>
      <c r="AJ571" s="314">
        <v>0</v>
      </c>
      <c r="AK571" s="314">
        <v>0</v>
      </c>
      <c r="AL571" s="314">
        <v>0</v>
      </c>
      <c r="AM571" s="314">
        <v>0</v>
      </c>
      <c r="AN571" s="314">
        <v>0</v>
      </c>
      <c r="AO571" s="314">
        <v>0</v>
      </c>
      <c r="AP571" s="314">
        <v>0</v>
      </c>
      <c r="AQ571" s="314">
        <v>0</v>
      </c>
      <c r="AR571" s="314">
        <v>0</v>
      </c>
      <c r="AS571" s="314">
        <v>0</v>
      </c>
      <c r="AT571" s="314">
        <v>0</v>
      </c>
      <c r="AU571" s="314">
        <v>0</v>
      </c>
      <c r="AV571" s="314">
        <v>0</v>
      </c>
      <c r="AW571" s="314">
        <v>0</v>
      </c>
      <c r="AX571" s="314">
        <v>0</v>
      </c>
      <c r="AY571" s="314">
        <v>0</v>
      </c>
      <c r="AZ571" s="314">
        <v>0</v>
      </c>
      <c r="BA571" s="314">
        <v>0</v>
      </c>
      <c r="BB571" s="314">
        <v>0</v>
      </c>
      <c r="BC571" s="314">
        <v>0</v>
      </c>
      <c r="BD571" s="314">
        <v>0</v>
      </c>
      <c r="BE571" s="1315">
        <v>0</v>
      </c>
    </row>
    <row r="572" spans="2:57" x14ac:dyDescent="0.25">
      <c r="B572" s="303"/>
      <c r="C572" s="304" t="str">
        <f>'II. Inputs, Baseline Energy Mix'!$E$77</f>
        <v>Front-end Fee, Public Guarantee</v>
      </c>
      <c r="D572" s="304"/>
      <c r="E572" s="304"/>
      <c r="F572" s="304"/>
      <c r="G572" s="314"/>
      <c r="H572" s="314">
        <f>IF($G553&gt;0, $G553*$G556*'II. Inputs, Baseline Energy Mix'!$Q$77/10000,0)</f>
        <v>0</v>
      </c>
      <c r="I572" s="314">
        <v>0</v>
      </c>
      <c r="J572" s="314">
        <v>0</v>
      </c>
      <c r="K572" s="314">
        <v>0</v>
      </c>
      <c r="L572" s="314">
        <v>0</v>
      </c>
      <c r="M572" s="314">
        <v>0</v>
      </c>
      <c r="N572" s="314">
        <v>0</v>
      </c>
      <c r="O572" s="314">
        <v>0</v>
      </c>
      <c r="P572" s="314">
        <v>0</v>
      </c>
      <c r="Q572" s="314">
        <v>0</v>
      </c>
      <c r="R572" s="314">
        <v>0</v>
      </c>
      <c r="S572" s="314">
        <v>0</v>
      </c>
      <c r="T572" s="314">
        <v>0</v>
      </c>
      <c r="U572" s="314">
        <v>0</v>
      </c>
      <c r="V572" s="314">
        <v>0</v>
      </c>
      <c r="W572" s="314">
        <v>0</v>
      </c>
      <c r="X572" s="314">
        <v>0</v>
      </c>
      <c r="Y572" s="314">
        <v>0</v>
      </c>
      <c r="Z572" s="314">
        <v>0</v>
      </c>
      <c r="AA572" s="314">
        <v>0</v>
      </c>
      <c r="AB572" s="314">
        <v>0</v>
      </c>
      <c r="AC572" s="314">
        <v>0</v>
      </c>
      <c r="AD572" s="314">
        <v>0</v>
      </c>
      <c r="AE572" s="314">
        <v>0</v>
      </c>
      <c r="AF572" s="314">
        <v>0</v>
      </c>
      <c r="AG572" s="314">
        <v>0</v>
      </c>
      <c r="AH572" s="314">
        <v>0</v>
      </c>
      <c r="AI572" s="314">
        <v>0</v>
      </c>
      <c r="AJ572" s="314">
        <v>0</v>
      </c>
      <c r="AK572" s="314">
        <v>0</v>
      </c>
      <c r="AL572" s="314">
        <v>0</v>
      </c>
      <c r="AM572" s="314">
        <v>0</v>
      </c>
      <c r="AN572" s="314">
        <v>0</v>
      </c>
      <c r="AO572" s="314">
        <v>0</v>
      </c>
      <c r="AP572" s="314">
        <v>0</v>
      </c>
      <c r="AQ572" s="314">
        <v>0</v>
      </c>
      <c r="AR572" s="314">
        <v>0</v>
      </c>
      <c r="AS572" s="314">
        <v>0</v>
      </c>
      <c r="AT572" s="314">
        <v>0</v>
      </c>
      <c r="AU572" s="314">
        <v>0</v>
      </c>
      <c r="AV572" s="314">
        <v>0</v>
      </c>
      <c r="AW572" s="314">
        <v>0</v>
      </c>
      <c r="AX572" s="314">
        <v>0</v>
      </c>
      <c r="AY572" s="314">
        <v>0</v>
      </c>
      <c r="AZ572" s="314">
        <v>0</v>
      </c>
      <c r="BA572" s="314">
        <v>0</v>
      </c>
      <c r="BB572" s="314">
        <v>0</v>
      </c>
      <c r="BC572" s="314">
        <v>0</v>
      </c>
      <c r="BD572" s="314">
        <v>0</v>
      </c>
      <c r="BE572" s="1315">
        <v>0</v>
      </c>
    </row>
    <row r="573" spans="2:57" x14ac:dyDescent="0.25">
      <c r="B573" s="303"/>
      <c r="C573" s="304" t="str">
        <f>'II. Inputs, Baseline Energy Mix'!$E$78</f>
        <v xml:space="preserve">Annual Public Guarantee Fee </v>
      </c>
      <c r="D573" s="304"/>
      <c r="E573" s="304"/>
      <c r="F573" s="304"/>
      <c r="G573" s="314"/>
      <c r="H573" s="314">
        <f>IF(H$299&gt;$G557,0,((H565+H568)/2)*$G556*'II. Inputs, Baseline Energy Mix'!$Q$78/10000)</f>
        <v>0</v>
      </c>
      <c r="I573" s="314">
        <f>IF(I$299&gt;$G557,0,((I565+I568)/2)*$G556*'II. Inputs, Baseline Energy Mix'!$Q$78/10000)</f>
        <v>0</v>
      </c>
      <c r="J573" s="314">
        <f>IF(J$299&gt;$G557,0,((J565+J568)/2)*$G556*'II. Inputs, Baseline Energy Mix'!$Q$78/10000)</f>
        <v>0</v>
      </c>
      <c r="K573" s="314">
        <f>IF(K$299&gt;$G557,0,((K565+K568)/2)*$G556*'II. Inputs, Baseline Energy Mix'!$Q$78/10000)</f>
        <v>0</v>
      </c>
      <c r="L573" s="314">
        <f>IF(L$299&gt;$G557,0,((L565+L568)/2)*$G556*'II. Inputs, Baseline Energy Mix'!$Q$78/10000)</f>
        <v>0</v>
      </c>
      <c r="M573" s="314">
        <f>IF(M$299&gt;$G557,0,((M565+M568)/2)*$G556*'II. Inputs, Baseline Energy Mix'!$Q$78/10000)</f>
        <v>0</v>
      </c>
      <c r="N573" s="314">
        <f>IF(N$299&gt;$G557,0,((N565+N568)/2)*$G556*'II. Inputs, Baseline Energy Mix'!$Q$78/10000)</f>
        <v>0</v>
      </c>
      <c r="O573" s="314">
        <f>IF(O$299&gt;$G557,0,((O565+O568)/2)*$G556*'II. Inputs, Baseline Energy Mix'!$Q$78/10000)</f>
        <v>0</v>
      </c>
      <c r="P573" s="314">
        <f>IF(P$299&gt;$G557,0,((P565+P568)/2)*$G556*'II. Inputs, Baseline Energy Mix'!$Q$78/10000)</f>
        <v>0</v>
      </c>
      <c r="Q573" s="314">
        <f>IF(Q$299&gt;$G557,0,((Q565+Q568)/2)*$G556*'II. Inputs, Baseline Energy Mix'!$Q$78/10000)</f>
        <v>0</v>
      </c>
      <c r="R573" s="314">
        <f>IF(R$299&gt;$G557,0,((R565+R568)/2)*$G556*'II. Inputs, Baseline Energy Mix'!$Q$78/10000)</f>
        <v>0</v>
      </c>
      <c r="S573" s="314">
        <f>IF(S$299&gt;$G557,0,((S565+S568)/2)*$G556*'II. Inputs, Baseline Energy Mix'!$Q$78/10000)</f>
        <v>0</v>
      </c>
      <c r="T573" s="314">
        <f>IF(T$299&gt;$G557,0,((T565+T568)/2)*$G556*'II. Inputs, Baseline Energy Mix'!$Q$78/10000)</f>
        <v>0</v>
      </c>
      <c r="U573" s="314">
        <f>IF(U$299&gt;$G557,0,((U565+U568)/2)*$G556*'II. Inputs, Baseline Energy Mix'!$Q$78/10000)</f>
        <v>0</v>
      </c>
      <c r="V573" s="314">
        <f>IF(V$299&gt;$G557,0,((V565+V568)/2)*$G556*'II. Inputs, Baseline Energy Mix'!$Q$78/10000)</f>
        <v>0</v>
      </c>
      <c r="W573" s="314">
        <f>IF(W$299&gt;$G557,0,((W565+W568)/2)*$G556*'II. Inputs, Baseline Energy Mix'!$Q$78/10000)</f>
        <v>0</v>
      </c>
      <c r="X573" s="314">
        <f>IF(X$299&gt;$G557,0,((X565+X568)/2)*$G556*'II. Inputs, Baseline Energy Mix'!$Q$78/10000)</f>
        <v>0</v>
      </c>
      <c r="Y573" s="314">
        <f>IF(Y$299&gt;$G557,0,((Y565+Y568)/2)*$G556*'II. Inputs, Baseline Energy Mix'!$Q$78/10000)</f>
        <v>0</v>
      </c>
      <c r="Z573" s="314">
        <f>IF(Z$299&gt;$G557,0,((Z565+Z568)/2)*$G556*'II. Inputs, Baseline Energy Mix'!$Q$78/10000)</f>
        <v>0</v>
      </c>
      <c r="AA573" s="314">
        <f>IF(AA$299&gt;$G557,0,((AA565+AA568)/2)*$G556*'II. Inputs, Baseline Energy Mix'!$Q$78/10000)</f>
        <v>0</v>
      </c>
      <c r="AB573" s="314">
        <f>IF(AB$299&gt;$G557,0,((AB565+AB568)/2)*$G556*'II. Inputs, Baseline Energy Mix'!$Q$78/10000)</f>
        <v>0</v>
      </c>
      <c r="AC573" s="314">
        <f>IF(AC$299&gt;$G557,0,((AC565+AC568)/2)*$G556*'II. Inputs, Baseline Energy Mix'!$Q$78/10000)</f>
        <v>0</v>
      </c>
      <c r="AD573" s="314">
        <f>IF(AD$299&gt;$G557,0,((AD565+AD568)/2)*$G556*'II. Inputs, Baseline Energy Mix'!$Q$78/10000)</f>
        <v>0</v>
      </c>
      <c r="AE573" s="314">
        <f>IF(AE$299&gt;$G557,0,((AE565+AE568)/2)*$G556*'II. Inputs, Baseline Energy Mix'!$Q$78/10000)</f>
        <v>0</v>
      </c>
      <c r="AF573" s="314">
        <f>IF(AF$299&gt;$G557,0,((AF565+AF568)/2)*$G556*'II. Inputs, Baseline Energy Mix'!$Q$78/10000)</f>
        <v>0</v>
      </c>
      <c r="AG573" s="314">
        <f>IF(AG$299&gt;$G557,0,((AG565+AG568)/2)*$G556*'II. Inputs, Baseline Energy Mix'!$Q$78/10000)</f>
        <v>0</v>
      </c>
      <c r="AH573" s="314">
        <f>IF(AH$299&gt;$G557,0,((AH565+AH568)/2)*$G556*'II. Inputs, Baseline Energy Mix'!$Q$78/10000)</f>
        <v>0</v>
      </c>
      <c r="AI573" s="314">
        <f>IF(AI$299&gt;$G557,0,((AI565+AI568)/2)*$G556*'II. Inputs, Baseline Energy Mix'!$Q$78/10000)</f>
        <v>0</v>
      </c>
      <c r="AJ573" s="314">
        <f>IF(AJ$299&gt;$G557,0,((AJ565+AJ568)/2)*$G556*'II. Inputs, Baseline Energy Mix'!$Q$78/10000)</f>
        <v>0</v>
      </c>
      <c r="AK573" s="314">
        <f>IF(AK$299&gt;$G557,0,((AK565+AK568)/2)*$G556*'II. Inputs, Baseline Energy Mix'!$Q$78/10000)</f>
        <v>0</v>
      </c>
      <c r="AL573" s="314">
        <f>IF(AL$299&gt;$G557,0,((AL565+AL568)/2)*$G556*'II. Inputs, Baseline Energy Mix'!$Q$78/10000)</f>
        <v>0</v>
      </c>
      <c r="AM573" s="314">
        <f>IF(AM$299&gt;$G557,0,((AM565+AM568)/2)*$G556*'II. Inputs, Baseline Energy Mix'!$Q$78/10000)</f>
        <v>0</v>
      </c>
      <c r="AN573" s="314">
        <f>IF(AN$299&gt;$G557,0,((AN565+AN568)/2)*$G556*'II. Inputs, Baseline Energy Mix'!$Q$78/10000)</f>
        <v>0</v>
      </c>
      <c r="AO573" s="314">
        <f>IF(AO$299&gt;$G557,0,((AO565+AO568)/2)*$G556*'II. Inputs, Baseline Energy Mix'!$Q$78/10000)</f>
        <v>0</v>
      </c>
      <c r="AP573" s="314">
        <f>IF(AP$299&gt;$G557,0,((AP565+AP568)/2)*$G556*'II. Inputs, Baseline Energy Mix'!$Q$78/10000)</f>
        <v>0</v>
      </c>
      <c r="AQ573" s="314">
        <f>IF(AQ$299&gt;$G557,0,((AQ565+AQ568)/2)*$G556*'II. Inputs, Baseline Energy Mix'!$Q$78/10000)</f>
        <v>0</v>
      </c>
      <c r="AR573" s="314">
        <f>IF(AR$299&gt;$G557,0,((AR565+AR568)/2)*$G556*'II. Inputs, Baseline Energy Mix'!$Q$78/10000)</f>
        <v>0</v>
      </c>
      <c r="AS573" s="314">
        <f>IF(AS$299&gt;$G557,0,((AS565+AS568)/2)*$G556*'II. Inputs, Baseline Energy Mix'!$Q$78/10000)</f>
        <v>0</v>
      </c>
      <c r="AT573" s="314">
        <f>IF(AT$299&gt;$G557,0,((AT565+AT568)/2)*$G556*'II. Inputs, Baseline Energy Mix'!$Q$78/10000)</f>
        <v>0</v>
      </c>
      <c r="AU573" s="314">
        <f>IF(AU$299&gt;$G557,0,((AU565+AU568)/2)*$G556*'II. Inputs, Baseline Energy Mix'!$Q$78/10000)</f>
        <v>0</v>
      </c>
      <c r="AV573" s="314">
        <f>IF(AV$299&gt;$G557,0,((AV565+AV568)/2)*$G556*'II. Inputs, Baseline Energy Mix'!$Q$78/10000)</f>
        <v>0</v>
      </c>
      <c r="AW573" s="314">
        <f>IF(AW$299&gt;$G557,0,((AW565+AW568)/2)*$G556*'II. Inputs, Baseline Energy Mix'!$Q$78/10000)</f>
        <v>0</v>
      </c>
      <c r="AX573" s="314">
        <f>IF(AX$299&gt;$G557,0,((AX565+AX568)/2)*$G556*'II. Inputs, Baseline Energy Mix'!$Q$78/10000)</f>
        <v>0</v>
      </c>
      <c r="AY573" s="314">
        <f>IF(AY$299&gt;$G557,0,((AY565+AY568)/2)*$G556*'II. Inputs, Baseline Energy Mix'!$Q$78/10000)</f>
        <v>0</v>
      </c>
      <c r="AZ573" s="314">
        <f>IF(AZ$299&gt;$G557,0,((AZ565+AZ568)/2)*$G556*'II. Inputs, Baseline Energy Mix'!$Q$78/10000)</f>
        <v>0</v>
      </c>
      <c r="BA573" s="314">
        <f>IF(BA$299&gt;$G557,0,((BA565+BA568)/2)*$G556*'II. Inputs, Baseline Energy Mix'!$Q$78/10000)</f>
        <v>0</v>
      </c>
      <c r="BB573" s="314">
        <f>IF(BB$299&gt;$G557,0,((BB565+BB568)/2)*$G556*'II. Inputs, Baseline Energy Mix'!$Q$78/10000)</f>
        <v>0</v>
      </c>
      <c r="BC573" s="314">
        <f>IF(BC$299&gt;$G557,0,((BC565+BC568)/2)*$G556*'II. Inputs, Baseline Energy Mix'!$Q$78/10000)</f>
        <v>0</v>
      </c>
      <c r="BD573" s="314">
        <f>IF(BD$299&gt;$G557,0,((BD565+BD568)/2)*$G556*'II. Inputs, Baseline Energy Mix'!$Q$78/10000)</f>
        <v>0</v>
      </c>
      <c r="BE573" s="1315">
        <f>IF(BE$299&gt;$G557,0,((BE565+BE568)/2)*$G556*'II. Inputs, Baseline Energy Mix'!$Q$78/10000)</f>
        <v>0</v>
      </c>
    </row>
    <row r="574" spans="2:57" x14ac:dyDescent="0.25">
      <c r="B574" s="303"/>
      <c r="C574" s="304"/>
      <c r="D574" s="304"/>
      <c r="E574" s="304"/>
      <c r="F574" s="304"/>
      <c r="G574" s="304"/>
      <c r="H574" s="304"/>
      <c r="I574" s="304"/>
      <c r="J574" s="304"/>
      <c r="K574" s="304"/>
      <c r="L574" s="304"/>
      <c r="M574" s="304"/>
      <c r="N574" s="304"/>
      <c r="O574" s="304"/>
      <c r="P574" s="304"/>
      <c r="Q574" s="304"/>
      <c r="R574" s="304"/>
      <c r="S574" s="304"/>
      <c r="T574" s="304"/>
      <c r="U574" s="304"/>
      <c r="V574" s="304"/>
      <c r="W574" s="304"/>
      <c r="X574" s="304"/>
      <c r="Y574" s="304"/>
      <c r="Z574" s="304"/>
      <c r="AA574" s="304"/>
      <c r="AB574" s="304"/>
      <c r="AC574" s="304"/>
      <c r="AD574" s="304"/>
      <c r="AE574" s="304"/>
      <c r="AF574" s="304"/>
      <c r="AG574" s="304"/>
      <c r="AH574" s="304"/>
      <c r="AI574" s="304"/>
      <c r="AJ574" s="304"/>
      <c r="AK574" s="304"/>
      <c r="AL574" s="304"/>
      <c r="AM574" s="304"/>
      <c r="AN574" s="304"/>
      <c r="AO574" s="304"/>
      <c r="AP574" s="304"/>
      <c r="AQ574" s="304"/>
      <c r="AR574" s="304"/>
      <c r="AS574" s="304"/>
      <c r="AT574" s="304"/>
      <c r="AU574" s="304"/>
      <c r="AV574" s="304"/>
      <c r="AW574" s="304"/>
      <c r="AX574" s="304"/>
      <c r="AY574" s="304"/>
      <c r="AZ574" s="304"/>
      <c r="BA574" s="304"/>
      <c r="BB574" s="304"/>
      <c r="BC574" s="304"/>
      <c r="BD574" s="304"/>
      <c r="BE574" s="305"/>
    </row>
    <row r="575" spans="2:57" x14ac:dyDescent="0.25">
      <c r="B575" s="315" t="s">
        <v>180</v>
      </c>
      <c r="C575" s="304"/>
      <c r="D575" s="304"/>
      <c r="E575" s="304"/>
      <c r="F575" s="304"/>
      <c r="G575" s="304"/>
      <c r="H575" s="304"/>
      <c r="I575" s="304"/>
      <c r="J575" s="304"/>
      <c r="K575" s="304"/>
      <c r="L575" s="304"/>
      <c r="M575" s="304"/>
      <c r="N575" s="304"/>
      <c r="O575" s="304"/>
      <c r="P575" s="304"/>
      <c r="Q575" s="304"/>
      <c r="R575" s="304"/>
      <c r="S575" s="304"/>
      <c r="T575" s="304"/>
      <c r="U575" s="304"/>
      <c r="V575" s="304"/>
      <c r="W575" s="304"/>
      <c r="X575" s="304"/>
      <c r="Y575" s="304"/>
      <c r="Z575" s="304"/>
      <c r="AA575" s="304"/>
      <c r="AB575" s="304"/>
      <c r="AC575" s="304"/>
      <c r="AD575" s="304"/>
      <c r="AE575" s="304"/>
      <c r="AF575" s="304"/>
      <c r="AG575" s="304"/>
      <c r="AH575" s="304"/>
      <c r="AI575" s="304"/>
      <c r="AJ575" s="304"/>
      <c r="AK575" s="304"/>
      <c r="AL575" s="304"/>
      <c r="AM575" s="304"/>
      <c r="AN575" s="304"/>
      <c r="AO575" s="304"/>
      <c r="AP575" s="304"/>
      <c r="AQ575" s="304"/>
      <c r="AR575" s="304"/>
      <c r="AS575" s="304"/>
      <c r="AT575" s="304"/>
      <c r="AU575" s="304"/>
      <c r="AV575" s="304"/>
      <c r="AW575" s="304"/>
      <c r="AX575" s="304"/>
      <c r="AY575" s="304"/>
      <c r="AZ575" s="304"/>
      <c r="BA575" s="304"/>
      <c r="BB575" s="304"/>
      <c r="BC575" s="304"/>
      <c r="BD575" s="304"/>
      <c r="BE575" s="305"/>
    </row>
    <row r="576" spans="2:57" x14ac:dyDescent="0.25">
      <c r="B576" s="303"/>
      <c r="C576" s="400" t="s">
        <v>68</v>
      </c>
      <c r="D576" s="304"/>
      <c r="E576" s="304"/>
      <c r="F576" s="304"/>
      <c r="G576" s="314">
        <f>IF('II. Inputs, Baseline Energy Mix'!$Q$15&gt;0,('II. Inputs, Baseline Energy Mix'!$Q$16*'II. Inputs, Baseline Energy Mix'!$Q$17*'II. Inputs, Baseline Energy Mix'!$Q$30*'II. Inputs, Baseline Energy Mix'!$Q$34),0)</f>
        <v>0</v>
      </c>
      <c r="H576" s="304"/>
      <c r="I576" s="304"/>
      <c r="J576" s="304"/>
      <c r="K576" s="304"/>
      <c r="L576" s="304"/>
      <c r="M576" s="304"/>
      <c r="N576" s="304"/>
      <c r="O576" s="304"/>
      <c r="P576" s="304"/>
      <c r="Q576" s="304"/>
      <c r="R576" s="304"/>
      <c r="S576" s="304"/>
      <c r="T576" s="304"/>
      <c r="U576" s="304"/>
      <c r="V576" s="304"/>
      <c r="W576" s="304"/>
      <c r="X576" s="304"/>
      <c r="Y576" s="304"/>
      <c r="Z576" s="304"/>
      <c r="AA576" s="304"/>
      <c r="AB576" s="304"/>
      <c r="AC576" s="304"/>
      <c r="AD576" s="304"/>
      <c r="AE576" s="304"/>
      <c r="AF576" s="304"/>
      <c r="AG576" s="304"/>
      <c r="AH576" s="304"/>
      <c r="AI576" s="304"/>
      <c r="AJ576" s="304"/>
      <c r="AK576" s="304"/>
      <c r="AL576" s="304"/>
      <c r="AM576" s="304"/>
      <c r="AN576" s="304"/>
      <c r="AO576" s="304"/>
      <c r="AP576" s="304"/>
      <c r="AQ576" s="304"/>
      <c r="AR576" s="304"/>
      <c r="AS576" s="304"/>
      <c r="AT576" s="304"/>
      <c r="AU576" s="304"/>
      <c r="AV576" s="304"/>
      <c r="AW576" s="304"/>
      <c r="AX576" s="304"/>
      <c r="AY576" s="304"/>
      <c r="AZ576" s="304"/>
      <c r="BA576" s="304"/>
      <c r="BB576" s="304"/>
      <c r="BC576" s="304"/>
      <c r="BD576" s="304"/>
      <c r="BE576" s="305"/>
    </row>
    <row r="577" spans="2:57" x14ac:dyDescent="0.25">
      <c r="B577" s="303"/>
      <c r="C577" s="400" t="s">
        <v>69</v>
      </c>
      <c r="D577" s="304"/>
      <c r="E577" s="304"/>
      <c r="F577" s="304"/>
      <c r="G577" s="306">
        <f>SUM('II. Inputs, Baseline Energy Mix'!$Q$46)</f>
        <v>0</v>
      </c>
      <c r="H577" s="304"/>
      <c r="I577" s="304"/>
      <c r="J577" s="304"/>
      <c r="K577" s="304"/>
      <c r="L577" s="304"/>
      <c r="M577" s="304"/>
      <c r="N577" s="304"/>
      <c r="O577" s="304"/>
      <c r="P577" s="304"/>
      <c r="Q577" s="304"/>
      <c r="R577" s="304"/>
      <c r="S577" s="304"/>
      <c r="T577" s="304"/>
      <c r="U577" s="304"/>
      <c r="V577" s="304"/>
      <c r="W577" s="304"/>
      <c r="X577" s="304"/>
      <c r="Y577" s="304"/>
      <c r="Z577" s="304"/>
      <c r="AA577" s="304"/>
      <c r="AB577" s="304"/>
      <c r="AC577" s="304"/>
      <c r="AD577" s="304"/>
      <c r="AE577" s="304"/>
      <c r="AF577" s="304"/>
      <c r="AG577" s="304"/>
      <c r="AH577" s="304"/>
      <c r="AI577" s="304"/>
      <c r="AJ577" s="304"/>
      <c r="AK577" s="304"/>
      <c r="AL577" s="304"/>
      <c r="AM577" s="304"/>
      <c r="AN577" s="304"/>
      <c r="AO577" s="304"/>
      <c r="AP577" s="304"/>
      <c r="AQ577" s="304"/>
      <c r="AR577" s="304"/>
      <c r="AS577" s="304"/>
      <c r="AT577" s="304"/>
      <c r="AU577" s="304"/>
      <c r="AV577" s="304"/>
      <c r="AW577" s="304"/>
      <c r="AX577" s="304"/>
      <c r="AY577" s="304"/>
      <c r="AZ577" s="304"/>
      <c r="BA577" s="304"/>
      <c r="BB577" s="304"/>
      <c r="BC577" s="304"/>
      <c r="BD577" s="304"/>
      <c r="BE577" s="305"/>
    </row>
    <row r="578" spans="2:57" x14ac:dyDescent="0.25">
      <c r="B578" s="303"/>
      <c r="C578" s="400" t="s">
        <v>70</v>
      </c>
      <c r="D578" s="304"/>
      <c r="E578" s="304"/>
      <c r="F578" s="304"/>
      <c r="G578" s="404">
        <f>SUM('II. Inputs, Baseline Energy Mix'!$Q$41)</f>
        <v>8.5000000000000006E-2</v>
      </c>
      <c r="H578" s="304"/>
      <c r="I578" s="304"/>
      <c r="J578" s="304"/>
      <c r="K578" s="304"/>
      <c r="L578" s="304"/>
      <c r="M578" s="304"/>
      <c r="N578" s="304"/>
      <c r="O578" s="304"/>
      <c r="P578" s="304"/>
      <c r="Q578" s="304"/>
      <c r="R578" s="304"/>
      <c r="S578" s="304"/>
      <c r="T578" s="304"/>
      <c r="U578" s="304"/>
      <c r="V578" s="304"/>
      <c r="W578" s="304"/>
      <c r="X578" s="304"/>
      <c r="Y578" s="304"/>
      <c r="Z578" s="304"/>
      <c r="AA578" s="304"/>
      <c r="AB578" s="304"/>
      <c r="AC578" s="304"/>
      <c r="AD578" s="304"/>
      <c r="AE578" s="304"/>
      <c r="AF578" s="304"/>
      <c r="AG578" s="304"/>
      <c r="AH578" s="304"/>
      <c r="AI578" s="304"/>
      <c r="AJ578" s="304"/>
      <c r="AK578" s="304"/>
      <c r="AL578" s="304"/>
      <c r="AM578" s="304"/>
      <c r="AN578" s="304"/>
      <c r="AO578" s="304"/>
      <c r="AP578" s="304"/>
      <c r="AQ578" s="304"/>
      <c r="AR578" s="304"/>
      <c r="AS578" s="304"/>
      <c r="AT578" s="304"/>
      <c r="AU578" s="304"/>
      <c r="AV578" s="304"/>
      <c r="AW578" s="304"/>
      <c r="AX578" s="304"/>
      <c r="AY578" s="304"/>
      <c r="AZ578" s="304"/>
      <c r="BA578" s="304"/>
      <c r="BB578" s="304"/>
      <c r="BC578" s="304"/>
      <c r="BD578" s="304"/>
      <c r="BE578" s="305"/>
    </row>
    <row r="579" spans="2:57" x14ac:dyDescent="0.25">
      <c r="B579" s="303"/>
      <c r="C579" s="304"/>
      <c r="D579" s="304"/>
      <c r="E579" s="304"/>
      <c r="F579" s="304"/>
      <c r="G579" s="304"/>
      <c r="H579" s="304"/>
      <c r="I579" s="304"/>
      <c r="J579" s="304"/>
      <c r="K579" s="304"/>
      <c r="L579" s="304"/>
      <c r="M579" s="304"/>
      <c r="N579" s="304"/>
      <c r="O579" s="304"/>
      <c r="P579" s="304"/>
      <c r="Q579" s="304"/>
      <c r="R579" s="304"/>
      <c r="S579" s="304"/>
      <c r="T579" s="304"/>
      <c r="U579" s="304"/>
      <c r="V579" s="304"/>
      <c r="W579" s="304"/>
      <c r="X579" s="304"/>
      <c r="Y579" s="304"/>
      <c r="Z579" s="304"/>
      <c r="AA579" s="304"/>
      <c r="AB579" s="304"/>
      <c r="AC579" s="304"/>
      <c r="AD579" s="304"/>
      <c r="AE579" s="304"/>
      <c r="AF579" s="304"/>
      <c r="AG579" s="304"/>
      <c r="AH579" s="304"/>
      <c r="AI579" s="304"/>
      <c r="AJ579" s="304"/>
      <c r="AK579" s="304"/>
      <c r="AL579" s="304"/>
      <c r="AM579" s="304"/>
      <c r="AN579" s="304"/>
      <c r="AO579" s="304"/>
      <c r="AP579" s="304"/>
      <c r="AQ579" s="304"/>
      <c r="AR579" s="304"/>
      <c r="AS579" s="304"/>
      <c r="AT579" s="304"/>
      <c r="AU579" s="304"/>
      <c r="AV579" s="304"/>
      <c r="AW579" s="304"/>
      <c r="AX579" s="304"/>
      <c r="AY579" s="304"/>
      <c r="AZ579" s="304"/>
      <c r="BA579" s="304"/>
      <c r="BB579" s="304"/>
      <c r="BC579" s="304"/>
      <c r="BD579" s="304"/>
      <c r="BE579" s="305"/>
    </row>
    <row r="580" spans="2:57" x14ac:dyDescent="0.25">
      <c r="B580" s="303"/>
      <c r="C580" s="402" t="s">
        <v>67</v>
      </c>
      <c r="D580" s="304"/>
      <c r="E580" s="304"/>
      <c r="F580" s="304"/>
      <c r="G580" s="304"/>
      <c r="H580" s="304"/>
      <c r="I580" s="304"/>
      <c r="J580" s="304"/>
      <c r="K580" s="304"/>
      <c r="L580" s="304"/>
      <c r="M580" s="304"/>
      <c r="N580" s="304"/>
      <c r="O580" s="304"/>
      <c r="P580" s="304"/>
      <c r="Q580" s="304"/>
      <c r="R580" s="304"/>
      <c r="S580" s="304"/>
      <c r="T580" s="304"/>
      <c r="U580" s="304"/>
      <c r="V580" s="304"/>
      <c r="W580" s="304"/>
      <c r="X580" s="304"/>
      <c r="Y580" s="304"/>
      <c r="Z580" s="304"/>
      <c r="AA580" s="304"/>
      <c r="AB580" s="304"/>
      <c r="AC580" s="304"/>
      <c r="AD580" s="304"/>
      <c r="AE580" s="304"/>
      <c r="AF580" s="304"/>
      <c r="AG580" s="304"/>
      <c r="AH580" s="304"/>
      <c r="AI580" s="304"/>
      <c r="AJ580" s="304"/>
      <c r="AK580" s="304"/>
      <c r="AL580" s="304"/>
      <c r="AM580" s="304"/>
      <c r="AN580" s="304"/>
      <c r="AO580" s="304"/>
      <c r="AP580" s="304"/>
      <c r="AQ580" s="304"/>
      <c r="AR580" s="304"/>
      <c r="AS580" s="304"/>
      <c r="AT580" s="304"/>
      <c r="AU580" s="304"/>
      <c r="AV580" s="304"/>
      <c r="AW580" s="304"/>
      <c r="AX580" s="304"/>
      <c r="AY580" s="304"/>
      <c r="AZ580" s="304"/>
      <c r="BA580" s="304"/>
      <c r="BB580" s="304"/>
      <c r="BC580" s="304"/>
      <c r="BD580" s="304"/>
      <c r="BE580" s="305"/>
    </row>
    <row r="581" spans="2:57" x14ac:dyDescent="0.25">
      <c r="B581" s="303"/>
      <c r="C581" s="304" t="s">
        <v>73</v>
      </c>
      <c r="D581" s="304"/>
      <c r="E581" s="304"/>
      <c r="F581" s="304"/>
      <c r="G581" s="314"/>
      <c r="H581" s="314">
        <f>IF(H$299&gt;$G577,0,IPMT($G578,H$299,$G577,-$G576))</f>
        <v>0</v>
      </c>
      <c r="I581" s="314">
        <f t="shared" ref="I581:BE581" si="194">IF(I$299&gt;$G577,0,IPMT($G578,I$299,$G577,-$G576))</f>
        <v>0</v>
      </c>
      <c r="J581" s="314">
        <f t="shared" si="194"/>
        <v>0</v>
      </c>
      <c r="K581" s="314">
        <f t="shared" si="194"/>
        <v>0</v>
      </c>
      <c r="L581" s="314">
        <f t="shared" si="194"/>
        <v>0</v>
      </c>
      <c r="M581" s="314">
        <f t="shared" si="194"/>
        <v>0</v>
      </c>
      <c r="N581" s="314">
        <f t="shared" si="194"/>
        <v>0</v>
      </c>
      <c r="O581" s="314">
        <f t="shared" si="194"/>
        <v>0</v>
      </c>
      <c r="P581" s="314">
        <f t="shared" si="194"/>
        <v>0</v>
      </c>
      <c r="Q581" s="314">
        <f t="shared" si="194"/>
        <v>0</v>
      </c>
      <c r="R581" s="314">
        <f t="shared" si="194"/>
        <v>0</v>
      </c>
      <c r="S581" s="314">
        <f t="shared" si="194"/>
        <v>0</v>
      </c>
      <c r="T581" s="314">
        <f t="shared" si="194"/>
        <v>0</v>
      </c>
      <c r="U581" s="314">
        <f t="shared" si="194"/>
        <v>0</v>
      </c>
      <c r="V581" s="314">
        <f t="shared" si="194"/>
        <v>0</v>
      </c>
      <c r="W581" s="314">
        <f t="shared" si="194"/>
        <v>0</v>
      </c>
      <c r="X581" s="314">
        <f t="shared" si="194"/>
        <v>0</v>
      </c>
      <c r="Y581" s="314">
        <f t="shared" si="194"/>
        <v>0</v>
      </c>
      <c r="Z581" s="314">
        <f t="shared" si="194"/>
        <v>0</v>
      </c>
      <c r="AA581" s="314">
        <f t="shared" si="194"/>
        <v>0</v>
      </c>
      <c r="AB581" s="314">
        <f t="shared" si="194"/>
        <v>0</v>
      </c>
      <c r="AC581" s="314">
        <f t="shared" si="194"/>
        <v>0</v>
      </c>
      <c r="AD581" s="314">
        <f t="shared" si="194"/>
        <v>0</v>
      </c>
      <c r="AE581" s="314">
        <f t="shared" si="194"/>
        <v>0</v>
      </c>
      <c r="AF581" s="314">
        <f t="shared" si="194"/>
        <v>0</v>
      </c>
      <c r="AG581" s="314">
        <f t="shared" si="194"/>
        <v>0</v>
      </c>
      <c r="AH581" s="314">
        <f t="shared" si="194"/>
        <v>0</v>
      </c>
      <c r="AI581" s="314">
        <f t="shared" si="194"/>
        <v>0</v>
      </c>
      <c r="AJ581" s="314">
        <f t="shared" si="194"/>
        <v>0</v>
      </c>
      <c r="AK581" s="314">
        <f t="shared" si="194"/>
        <v>0</v>
      </c>
      <c r="AL581" s="314">
        <f t="shared" si="194"/>
        <v>0</v>
      </c>
      <c r="AM581" s="314">
        <f t="shared" si="194"/>
        <v>0</v>
      </c>
      <c r="AN581" s="314">
        <f t="shared" si="194"/>
        <v>0</v>
      </c>
      <c r="AO581" s="314">
        <f t="shared" si="194"/>
        <v>0</v>
      </c>
      <c r="AP581" s="314">
        <f t="shared" si="194"/>
        <v>0</v>
      </c>
      <c r="AQ581" s="314">
        <f t="shared" si="194"/>
        <v>0</v>
      </c>
      <c r="AR581" s="314">
        <f t="shared" si="194"/>
        <v>0</v>
      </c>
      <c r="AS581" s="314">
        <f t="shared" si="194"/>
        <v>0</v>
      </c>
      <c r="AT581" s="314">
        <f t="shared" si="194"/>
        <v>0</v>
      </c>
      <c r="AU581" s="314">
        <f t="shared" si="194"/>
        <v>0</v>
      </c>
      <c r="AV581" s="314">
        <f t="shared" si="194"/>
        <v>0</v>
      </c>
      <c r="AW581" s="314">
        <f t="shared" si="194"/>
        <v>0</v>
      </c>
      <c r="AX581" s="314">
        <f t="shared" si="194"/>
        <v>0</v>
      </c>
      <c r="AY581" s="314">
        <f t="shared" si="194"/>
        <v>0</v>
      </c>
      <c r="AZ581" s="314">
        <f t="shared" si="194"/>
        <v>0</v>
      </c>
      <c r="BA581" s="314">
        <f t="shared" si="194"/>
        <v>0</v>
      </c>
      <c r="BB581" s="314">
        <f t="shared" si="194"/>
        <v>0</v>
      </c>
      <c r="BC581" s="314">
        <f t="shared" si="194"/>
        <v>0</v>
      </c>
      <c r="BD581" s="314">
        <f t="shared" si="194"/>
        <v>0</v>
      </c>
      <c r="BE581" s="1315">
        <f t="shared" si="194"/>
        <v>0</v>
      </c>
    </row>
    <row r="582" spans="2:57" x14ac:dyDescent="0.25">
      <c r="B582" s="303"/>
      <c r="C582" s="311" t="s">
        <v>72</v>
      </c>
      <c r="D582" s="311"/>
      <c r="E582" s="311"/>
      <c r="F582" s="311"/>
      <c r="G582" s="1316"/>
      <c r="H582" s="1316">
        <f>IF(H$299&gt;$G577,0,PPMT($G578,H$299,$G577,-$G576))</f>
        <v>0</v>
      </c>
      <c r="I582" s="1316">
        <f t="shared" ref="I582:BE582" si="195">IF(I$299&gt;$G577,0,PPMT($G578,I$299,$G577,-$G576))</f>
        <v>0</v>
      </c>
      <c r="J582" s="1316">
        <f t="shared" si="195"/>
        <v>0</v>
      </c>
      <c r="K582" s="1316">
        <f t="shared" si="195"/>
        <v>0</v>
      </c>
      <c r="L582" s="1316">
        <f t="shared" si="195"/>
        <v>0</v>
      </c>
      <c r="M582" s="1316">
        <f t="shared" si="195"/>
        <v>0</v>
      </c>
      <c r="N582" s="1316">
        <f t="shared" si="195"/>
        <v>0</v>
      </c>
      <c r="O582" s="1316">
        <f t="shared" si="195"/>
        <v>0</v>
      </c>
      <c r="P582" s="1316">
        <f t="shared" si="195"/>
        <v>0</v>
      </c>
      <c r="Q582" s="1316">
        <f t="shared" si="195"/>
        <v>0</v>
      </c>
      <c r="R582" s="1316">
        <f t="shared" si="195"/>
        <v>0</v>
      </c>
      <c r="S582" s="1316">
        <f t="shared" si="195"/>
        <v>0</v>
      </c>
      <c r="T582" s="1316">
        <f t="shared" si="195"/>
        <v>0</v>
      </c>
      <c r="U582" s="1316">
        <f t="shared" si="195"/>
        <v>0</v>
      </c>
      <c r="V582" s="1316">
        <f t="shared" si="195"/>
        <v>0</v>
      </c>
      <c r="W582" s="1316">
        <f t="shared" si="195"/>
        <v>0</v>
      </c>
      <c r="X582" s="1316">
        <f t="shared" si="195"/>
        <v>0</v>
      </c>
      <c r="Y582" s="1316">
        <f t="shared" si="195"/>
        <v>0</v>
      </c>
      <c r="Z582" s="1316">
        <f t="shared" si="195"/>
        <v>0</v>
      </c>
      <c r="AA582" s="1316">
        <f t="shared" si="195"/>
        <v>0</v>
      </c>
      <c r="AB582" s="1316">
        <f t="shared" si="195"/>
        <v>0</v>
      </c>
      <c r="AC582" s="1316">
        <f t="shared" si="195"/>
        <v>0</v>
      </c>
      <c r="AD582" s="1316">
        <f t="shared" si="195"/>
        <v>0</v>
      </c>
      <c r="AE582" s="1316">
        <f t="shared" si="195"/>
        <v>0</v>
      </c>
      <c r="AF582" s="1316">
        <f t="shared" si="195"/>
        <v>0</v>
      </c>
      <c r="AG582" s="1316">
        <f t="shared" si="195"/>
        <v>0</v>
      </c>
      <c r="AH582" s="1316">
        <f t="shared" si="195"/>
        <v>0</v>
      </c>
      <c r="AI582" s="1316">
        <f t="shared" si="195"/>
        <v>0</v>
      </c>
      <c r="AJ582" s="1316">
        <f t="shared" si="195"/>
        <v>0</v>
      </c>
      <c r="AK582" s="1316">
        <f t="shared" si="195"/>
        <v>0</v>
      </c>
      <c r="AL582" s="1316">
        <f t="shared" si="195"/>
        <v>0</v>
      </c>
      <c r="AM582" s="1316">
        <f t="shared" si="195"/>
        <v>0</v>
      </c>
      <c r="AN582" s="1316">
        <f t="shared" si="195"/>
        <v>0</v>
      </c>
      <c r="AO582" s="1316">
        <f t="shared" si="195"/>
        <v>0</v>
      </c>
      <c r="AP582" s="1316">
        <f t="shared" si="195"/>
        <v>0</v>
      </c>
      <c r="AQ582" s="1316">
        <f t="shared" si="195"/>
        <v>0</v>
      </c>
      <c r="AR582" s="1316">
        <f t="shared" si="195"/>
        <v>0</v>
      </c>
      <c r="AS582" s="1316">
        <f t="shared" si="195"/>
        <v>0</v>
      </c>
      <c r="AT582" s="1316">
        <f t="shared" si="195"/>
        <v>0</v>
      </c>
      <c r="AU582" s="1316">
        <f t="shared" si="195"/>
        <v>0</v>
      </c>
      <c r="AV582" s="1316">
        <f t="shared" si="195"/>
        <v>0</v>
      </c>
      <c r="AW582" s="1316">
        <f t="shared" si="195"/>
        <v>0</v>
      </c>
      <c r="AX582" s="1316">
        <f t="shared" si="195"/>
        <v>0</v>
      </c>
      <c r="AY582" s="1316">
        <f t="shared" si="195"/>
        <v>0</v>
      </c>
      <c r="AZ582" s="1316">
        <f t="shared" si="195"/>
        <v>0</v>
      </c>
      <c r="BA582" s="1316">
        <f t="shared" si="195"/>
        <v>0</v>
      </c>
      <c r="BB582" s="1316">
        <f t="shared" si="195"/>
        <v>0</v>
      </c>
      <c r="BC582" s="1316">
        <f t="shared" si="195"/>
        <v>0</v>
      </c>
      <c r="BD582" s="1316">
        <f t="shared" si="195"/>
        <v>0</v>
      </c>
      <c r="BE582" s="1317">
        <f t="shared" si="195"/>
        <v>0</v>
      </c>
    </row>
    <row r="583" spans="2:57" x14ac:dyDescent="0.25">
      <c r="B583" s="303"/>
      <c r="C583" s="304" t="s">
        <v>74</v>
      </c>
      <c r="D583" s="304"/>
      <c r="E583" s="304"/>
      <c r="F583" s="304"/>
      <c r="G583" s="314"/>
      <c r="H583" s="314">
        <f>SUM(H581:H582)</f>
        <v>0</v>
      </c>
      <c r="I583" s="314">
        <f t="shared" ref="I583:BE583" si="196">SUM(I581:I582)</f>
        <v>0</v>
      </c>
      <c r="J583" s="314">
        <f t="shared" si="196"/>
        <v>0</v>
      </c>
      <c r="K583" s="314">
        <f t="shared" si="196"/>
        <v>0</v>
      </c>
      <c r="L583" s="314">
        <f t="shared" si="196"/>
        <v>0</v>
      </c>
      <c r="M583" s="314">
        <f t="shared" si="196"/>
        <v>0</v>
      </c>
      <c r="N583" s="314">
        <f t="shared" si="196"/>
        <v>0</v>
      </c>
      <c r="O583" s="314">
        <f t="shared" si="196"/>
        <v>0</v>
      </c>
      <c r="P583" s="314">
        <f t="shared" si="196"/>
        <v>0</v>
      </c>
      <c r="Q583" s="314">
        <f t="shared" si="196"/>
        <v>0</v>
      </c>
      <c r="R583" s="314">
        <f t="shared" si="196"/>
        <v>0</v>
      </c>
      <c r="S583" s="314">
        <f t="shared" si="196"/>
        <v>0</v>
      </c>
      <c r="T583" s="314">
        <f t="shared" si="196"/>
        <v>0</v>
      </c>
      <c r="U583" s="314">
        <f t="shared" si="196"/>
        <v>0</v>
      </c>
      <c r="V583" s="314">
        <f t="shared" si="196"/>
        <v>0</v>
      </c>
      <c r="W583" s="314">
        <f t="shared" si="196"/>
        <v>0</v>
      </c>
      <c r="X583" s="314">
        <f t="shared" si="196"/>
        <v>0</v>
      </c>
      <c r="Y583" s="314">
        <f t="shared" si="196"/>
        <v>0</v>
      </c>
      <c r="Z583" s="314">
        <f t="shared" si="196"/>
        <v>0</v>
      </c>
      <c r="AA583" s="314">
        <f t="shared" si="196"/>
        <v>0</v>
      </c>
      <c r="AB583" s="314">
        <f t="shared" si="196"/>
        <v>0</v>
      </c>
      <c r="AC583" s="314">
        <f t="shared" si="196"/>
        <v>0</v>
      </c>
      <c r="AD583" s="314">
        <f t="shared" si="196"/>
        <v>0</v>
      </c>
      <c r="AE583" s="314">
        <f t="shared" si="196"/>
        <v>0</v>
      </c>
      <c r="AF583" s="314">
        <f t="shared" si="196"/>
        <v>0</v>
      </c>
      <c r="AG583" s="314">
        <f t="shared" si="196"/>
        <v>0</v>
      </c>
      <c r="AH583" s="314">
        <f t="shared" si="196"/>
        <v>0</v>
      </c>
      <c r="AI583" s="314">
        <f t="shared" si="196"/>
        <v>0</v>
      </c>
      <c r="AJ583" s="314">
        <f t="shared" si="196"/>
        <v>0</v>
      </c>
      <c r="AK583" s="314">
        <f t="shared" si="196"/>
        <v>0</v>
      </c>
      <c r="AL583" s="314">
        <f t="shared" si="196"/>
        <v>0</v>
      </c>
      <c r="AM583" s="314">
        <f t="shared" si="196"/>
        <v>0</v>
      </c>
      <c r="AN583" s="314">
        <f t="shared" si="196"/>
        <v>0</v>
      </c>
      <c r="AO583" s="314">
        <f t="shared" si="196"/>
        <v>0</v>
      </c>
      <c r="AP583" s="314">
        <f t="shared" si="196"/>
        <v>0</v>
      </c>
      <c r="AQ583" s="314">
        <f t="shared" si="196"/>
        <v>0</v>
      </c>
      <c r="AR583" s="314">
        <f t="shared" si="196"/>
        <v>0</v>
      </c>
      <c r="AS583" s="314">
        <f t="shared" si="196"/>
        <v>0</v>
      </c>
      <c r="AT583" s="314">
        <f t="shared" si="196"/>
        <v>0</v>
      </c>
      <c r="AU583" s="314">
        <f t="shared" si="196"/>
        <v>0</v>
      </c>
      <c r="AV583" s="314">
        <f t="shared" si="196"/>
        <v>0</v>
      </c>
      <c r="AW583" s="314">
        <f t="shared" si="196"/>
        <v>0</v>
      </c>
      <c r="AX583" s="314">
        <f t="shared" si="196"/>
        <v>0</v>
      </c>
      <c r="AY583" s="314">
        <f t="shared" si="196"/>
        <v>0</v>
      </c>
      <c r="AZ583" s="314">
        <f t="shared" si="196"/>
        <v>0</v>
      </c>
      <c r="BA583" s="314">
        <f t="shared" si="196"/>
        <v>0</v>
      </c>
      <c r="BB583" s="314">
        <f t="shared" si="196"/>
        <v>0</v>
      </c>
      <c r="BC583" s="314">
        <f t="shared" si="196"/>
        <v>0</v>
      </c>
      <c r="BD583" s="314">
        <f t="shared" si="196"/>
        <v>0</v>
      </c>
      <c r="BE583" s="1315">
        <f t="shared" si="196"/>
        <v>0</v>
      </c>
    </row>
    <row r="584" spans="2:57" x14ac:dyDescent="0.25">
      <c r="B584" s="303"/>
      <c r="C584" s="304"/>
      <c r="D584" s="304"/>
      <c r="E584" s="304"/>
      <c r="F584" s="304"/>
      <c r="G584" s="314"/>
      <c r="H584" s="314"/>
      <c r="I584" s="314"/>
      <c r="J584" s="314"/>
      <c r="K584" s="314"/>
      <c r="L584" s="314"/>
      <c r="M584" s="314"/>
      <c r="N584" s="314"/>
      <c r="O584" s="314"/>
      <c r="P584" s="314"/>
      <c r="Q584" s="314"/>
      <c r="R584" s="314"/>
      <c r="S584" s="314"/>
      <c r="T584" s="314"/>
      <c r="U584" s="314"/>
      <c r="V584" s="314"/>
      <c r="W584" s="314"/>
      <c r="X584" s="314"/>
      <c r="Y584" s="314"/>
      <c r="Z584" s="314"/>
      <c r="AA584" s="314"/>
      <c r="AB584" s="314"/>
      <c r="AC584" s="314"/>
      <c r="AD584" s="314"/>
      <c r="AE584" s="314"/>
      <c r="AF584" s="314"/>
      <c r="AG584" s="314"/>
      <c r="AH584" s="314"/>
      <c r="AI584" s="314"/>
      <c r="AJ584" s="314"/>
      <c r="AK584" s="314"/>
      <c r="AL584" s="314"/>
      <c r="AM584" s="314"/>
      <c r="AN584" s="314"/>
      <c r="AO584" s="314"/>
      <c r="AP584" s="314"/>
      <c r="AQ584" s="314"/>
      <c r="AR584" s="314"/>
      <c r="AS584" s="314"/>
      <c r="AT584" s="314"/>
      <c r="AU584" s="314"/>
      <c r="AV584" s="314"/>
      <c r="AW584" s="314"/>
      <c r="AX584" s="314"/>
      <c r="AY584" s="314"/>
      <c r="AZ584" s="314"/>
      <c r="BA584" s="314"/>
      <c r="BB584" s="314"/>
      <c r="BC584" s="314"/>
      <c r="BD584" s="314"/>
      <c r="BE584" s="1315"/>
    </row>
    <row r="585" spans="2:57" x14ac:dyDescent="0.25">
      <c r="B585" s="303"/>
      <c r="C585" s="403" t="s">
        <v>65</v>
      </c>
      <c r="D585" s="304"/>
      <c r="E585" s="304"/>
      <c r="F585" s="304"/>
      <c r="G585" s="314"/>
      <c r="H585" s="314"/>
      <c r="I585" s="314"/>
      <c r="J585" s="314"/>
      <c r="K585" s="314"/>
      <c r="L585" s="314"/>
      <c r="M585" s="314"/>
      <c r="N585" s="314"/>
      <c r="O585" s="314"/>
      <c r="P585" s="314"/>
      <c r="Q585" s="314"/>
      <c r="R585" s="314"/>
      <c r="S585" s="314"/>
      <c r="T585" s="314"/>
      <c r="U585" s="314"/>
      <c r="V585" s="314"/>
      <c r="W585" s="314"/>
      <c r="X585" s="314"/>
      <c r="Y585" s="314"/>
      <c r="Z585" s="314"/>
      <c r="AA585" s="314"/>
      <c r="AB585" s="314"/>
      <c r="AC585" s="314"/>
      <c r="AD585" s="314"/>
      <c r="AE585" s="314"/>
      <c r="AF585" s="314"/>
      <c r="AG585" s="314"/>
      <c r="AH585" s="314"/>
      <c r="AI585" s="314"/>
      <c r="AJ585" s="314"/>
      <c r="AK585" s="314"/>
      <c r="AL585" s="314"/>
      <c r="AM585" s="314"/>
      <c r="AN585" s="314"/>
      <c r="AO585" s="314"/>
      <c r="AP585" s="314"/>
      <c r="AQ585" s="314"/>
      <c r="AR585" s="314"/>
      <c r="AS585" s="314"/>
      <c r="AT585" s="314"/>
      <c r="AU585" s="314"/>
      <c r="AV585" s="314"/>
      <c r="AW585" s="314"/>
      <c r="AX585" s="314"/>
      <c r="AY585" s="314"/>
      <c r="AZ585" s="314"/>
      <c r="BA585" s="314"/>
      <c r="BB585" s="314"/>
      <c r="BC585" s="314"/>
      <c r="BD585" s="314"/>
      <c r="BE585" s="1315"/>
    </row>
    <row r="586" spans="2:57" x14ac:dyDescent="0.25">
      <c r="B586" s="303"/>
      <c r="C586" s="304" t="s">
        <v>75</v>
      </c>
      <c r="D586" s="304"/>
      <c r="E586" s="304"/>
      <c r="F586" s="304"/>
      <c r="G586" s="314">
        <v>0</v>
      </c>
      <c r="H586" s="314">
        <f t="shared" ref="H586:AM586" si="197">G589</f>
        <v>0</v>
      </c>
      <c r="I586" s="314">
        <f t="shared" si="197"/>
        <v>0</v>
      </c>
      <c r="J586" s="314">
        <f t="shared" si="197"/>
        <v>0</v>
      </c>
      <c r="K586" s="314">
        <f t="shared" si="197"/>
        <v>0</v>
      </c>
      <c r="L586" s="314">
        <f t="shared" si="197"/>
        <v>0</v>
      </c>
      <c r="M586" s="314">
        <f t="shared" si="197"/>
        <v>0</v>
      </c>
      <c r="N586" s="314">
        <f t="shared" si="197"/>
        <v>0</v>
      </c>
      <c r="O586" s="314">
        <f t="shared" si="197"/>
        <v>0</v>
      </c>
      <c r="P586" s="314">
        <f t="shared" si="197"/>
        <v>0</v>
      </c>
      <c r="Q586" s="314">
        <f t="shared" si="197"/>
        <v>0</v>
      </c>
      <c r="R586" s="314">
        <f t="shared" si="197"/>
        <v>0</v>
      </c>
      <c r="S586" s="314">
        <f t="shared" si="197"/>
        <v>0</v>
      </c>
      <c r="T586" s="314">
        <f t="shared" si="197"/>
        <v>0</v>
      </c>
      <c r="U586" s="314">
        <f t="shared" si="197"/>
        <v>0</v>
      </c>
      <c r="V586" s="314">
        <f t="shared" si="197"/>
        <v>0</v>
      </c>
      <c r="W586" s="314">
        <f t="shared" si="197"/>
        <v>0</v>
      </c>
      <c r="X586" s="314">
        <f t="shared" si="197"/>
        <v>0</v>
      </c>
      <c r="Y586" s="314">
        <f t="shared" si="197"/>
        <v>0</v>
      </c>
      <c r="Z586" s="314">
        <f t="shared" si="197"/>
        <v>0</v>
      </c>
      <c r="AA586" s="314">
        <f t="shared" si="197"/>
        <v>0</v>
      </c>
      <c r="AB586" s="314">
        <f t="shared" si="197"/>
        <v>0</v>
      </c>
      <c r="AC586" s="314">
        <f t="shared" si="197"/>
        <v>0</v>
      </c>
      <c r="AD586" s="314">
        <f t="shared" si="197"/>
        <v>0</v>
      </c>
      <c r="AE586" s="314">
        <f t="shared" si="197"/>
        <v>0</v>
      </c>
      <c r="AF586" s="314">
        <f t="shared" si="197"/>
        <v>0</v>
      </c>
      <c r="AG586" s="314">
        <f t="shared" si="197"/>
        <v>0</v>
      </c>
      <c r="AH586" s="314">
        <f t="shared" si="197"/>
        <v>0</v>
      </c>
      <c r="AI586" s="314">
        <f t="shared" si="197"/>
        <v>0</v>
      </c>
      <c r="AJ586" s="314">
        <f t="shared" si="197"/>
        <v>0</v>
      </c>
      <c r="AK586" s="314">
        <f t="shared" si="197"/>
        <v>0</v>
      </c>
      <c r="AL586" s="314">
        <f t="shared" si="197"/>
        <v>0</v>
      </c>
      <c r="AM586" s="314">
        <f t="shared" si="197"/>
        <v>0</v>
      </c>
      <c r="AN586" s="314">
        <f t="shared" ref="AN586:BE586" si="198">AM589</f>
        <v>0</v>
      </c>
      <c r="AO586" s="314">
        <f t="shared" si="198"/>
        <v>0</v>
      </c>
      <c r="AP586" s="314">
        <f t="shared" si="198"/>
        <v>0</v>
      </c>
      <c r="AQ586" s="314">
        <f t="shared" si="198"/>
        <v>0</v>
      </c>
      <c r="AR586" s="314">
        <f t="shared" si="198"/>
        <v>0</v>
      </c>
      <c r="AS586" s="314">
        <f t="shared" si="198"/>
        <v>0</v>
      </c>
      <c r="AT586" s="314">
        <f t="shared" si="198"/>
        <v>0</v>
      </c>
      <c r="AU586" s="314">
        <f t="shared" si="198"/>
        <v>0</v>
      </c>
      <c r="AV586" s="314">
        <f t="shared" si="198"/>
        <v>0</v>
      </c>
      <c r="AW586" s="314">
        <f t="shared" si="198"/>
        <v>0</v>
      </c>
      <c r="AX586" s="314">
        <f t="shared" si="198"/>
        <v>0</v>
      </c>
      <c r="AY586" s="314">
        <f t="shared" si="198"/>
        <v>0</v>
      </c>
      <c r="AZ586" s="314">
        <f t="shared" si="198"/>
        <v>0</v>
      </c>
      <c r="BA586" s="314">
        <f t="shared" si="198"/>
        <v>0</v>
      </c>
      <c r="BB586" s="314">
        <f t="shared" si="198"/>
        <v>0</v>
      </c>
      <c r="BC586" s="314">
        <f t="shared" si="198"/>
        <v>0</v>
      </c>
      <c r="BD586" s="314">
        <f t="shared" si="198"/>
        <v>0</v>
      </c>
      <c r="BE586" s="1315">
        <f t="shared" si="198"/>
        <v>0</v>
      </c>
    </row>
    <row r="587" spans="2:57" x14ac:dyDescent="0.25">
      <c r="B587" s="303"/>
      <c r="C587" s="304" t="s">
        <v>76</v>
      </c>
      <c r="D587" s="304"/>
      <c r="E587" s="304"/>
      <c r="F587" s="304"/>
      <c r="G587" s="314">
        <f>G576</f>
        <v>0</v>
      </c>
      <c r="H587" s="314">
        <v>0</v>
      </c>
      <c r="I587" s="314">
        <v>0</v>
      </c>
      <c r="J587" s="314">
        <v>0</v>
      </c>
      <c r="K587" s="314">
        <v>0</v>
      </c>
      <c r="L587" s="314">
        <v>0</v>
      </c>
      <c r="M587" s="314">
        <v>0</v>
      </c>
      <c r="N587" s="314">
        <v>0</v>
      </c>
      <c r="O587" s="314">
        <v>0</v>
      </c>
      <c r="P587" s="314">
        <v>0</v>
      </c>
      <c r="Q587" s="314">
        <v>0</v>
      </c>
      <c r="R587" s="314">
        <v>0</v>
      </c>
      <c r="S587" s="314">
        <v>0</v>
      </c>
      <c r="T587" s="314">
        <v>0</v>
      </c>
      <c r="U587" s="314">
        <v>0</v>
      </c>
      <c r="V587" s="314">
        <v>0</v>
      </c>
      <c r="W587" s="314">
        <v>0</v>
      </c>
      <c r="X587" s="314">
        <v>0</v>
      </c>
      <c r="Y587" s="314">
        <v>0</v>
      </c>
      <c r="Z587" s="314">
        <v>0</v>
      </c>
      <c r="AA587" s="314">
        <v>0</v>
      </c>
      <c r="AB587" s="314">
        <v>0</v>
      </c>
      <c r="AC587" s="314">
        <v>0</v>
      </c>
      <c r="AD587" s="314">
        <v>0</v>
      </c>
      <c r="AE587" s="314">
        <v>0</v>
      </c>
      <c r="AF587" s="314">
        <v>0</v>
      </c>
      <c r="AG587" s="314">
        <v>0</v>
      </c>
      <c r="AH587" s="314">
        <v>0</v>
      </c>
      <c r="AI587" s="314">
        <v>0</v>
      </c>
      <c r="AJ587" s="314">
        <v>0</v>
      </c>
      <c r="AK587" s="314">
        <v>0</v>
      </c>
      <c r="AL587" s="314">
        <v>0</v>
      </c>
      <c r="AM587" s="314">
        <v>0</v>
      </c>
      <c r="AN587" s="314">
        <v>0</v>
      </c>
      <c r="AO587" s="314">
        <v>0</v>
      </c>
      <c r="AP587" s="314">
        <v>0</v>
      </c>
      <c r="AQ587" s="314">
        <v>0</v>
      </c>
      <c r="AR587" s="314">
        <v>0</v>
      </c>
      <c r="AS587" s="314">
        <v>0</v>
      </c>
      <c r="AT587" s="314">
        <v>0</v>
      </c>
      <c r="AU587" s="314">
        <v>0</v>
      </c>
      <c r="AV587" s="314">
        <v>0</v>
      </c>
      <c r="AW587" s="314">
        <v>0</v>
      </c>
      <c r="AX587" s="314">
        <v>0</v>
      </c>
      <c r="AY587" s="314">
        <v>0</v>
      </c>
      <c r="AZ587" s="314">
        <v>0</v>
      </c>
      <c r="BA587" s="314">
        <v>0</v>
      </c>
      <c r="BB587" s="314">
        <v>0</v>
      </c>
      <c r="BC587" s="314">
        <v>0</v>
      </c>
      <c r="BD587" s="314">
        <v>0</v>
      </c>
      <c r="BE587" s="1315">
        <v>0</v>
      </c>
    </row>
    <row r="588" spans="2:57" x14ac:dyDescent="0.25">
      <c r="B588" s="303"/>
      <c r="C588" s="311" t="s">
        <v>77</v>
      </c>
      <c r="D588" s="311"/>
      <c r="E588" s="311"/>
      <c r="F588" s="311"/>
      <c r="G588" s="1316">
        <v>0</v>
      </c>
      <c r="H588" s="1316">
        <f>-H582</f>
        <v>0</v>
      </c>
      <c r="I588" s="1316">
        <f t="shared" ref="I588:BE588" si="199">-I582</f>
        <v>0</v>
      </c>
      <c r="J588" s="1316">
        <f t="shared" si="199"/>
        <v>0</v>
      </c>
      <c r="K588" s="1316">
        <f t="shared" si="199"/>
        <v>0</v>
      </c>
      <c r="L588" s="1316">
        <f t="shared" si="199"/>
        <v>0</v>
      </c>
      <c r="M588" s="1316">
        <f t="shared" si="199"/>
        <v>0</v>
      </c>
      <c r="N588" s="1316">
        <f t="shared" si="199"/>
        <v>0</v>
      </c>
      <c r="O588" s="1316">
        <f t="shared" si="199"/>
        <v>0</v>
      </c>
      <c r="P588" s="1316">
        <f t="shared" si="199"/>
        <v>0</v>
      </c>
      <c r="Q588" s="1316">
        <f t="shared" si="199"/>
        <v>0</v>
      </c>
      <c r="R588" s="1316">
        <f t="shared" si="199"/>
        <v>0</v>
      </c>
      <c r="S588" s="1316">
        <f t="shared" si="199"/>
        <v>0</v>
      </c>
      <c r="T588" s="1316">
        <f t="shared" si="199"/>
        <v>0</v>
      </c>
      <c r="U588" s="1316">
        <f t="shared" si="199"/>
        <v>0</v>
      </c>
      <c r="V588" s="1316">
        <f t="shared" si="199"/>
        <v>0</v>
      </c>
      <c r="W588" s="1316">
        <f t="shared" si="199"/>
        <v>0</v>
      </c>
      <c r="X588" s="1316">
        <f t="shared" si="199"/>
        <v>0</v>
      </c>
      <c r="Y588" s="1316">
        <f t="shared" si="199"/>
        <v>0</v>
      </c>
      <c r="Z588" s="1316">
        <f t="shared" si="199"/>
        <v>0</v>
      </c>
      <c r="AA588" s="1316">
        <f t="shared" si="199"/>
        <v>0</v>
      </c>
      <c r="AB588" s="1316">
        <f t="shared" si="199"/>
        <v>0</v>
      </c>
      <c r="AC588" s="1316">
        <f t="shared" si="199"/>
        <v>0</v>
      </c>
      <c r="AD588" s="1316">
        <f t="shared" si="199"/>
        <v>0</v>
      </c>
      <c r="AE588" s="1316">
        <f t="shared" si="199"/>
        <v>0</v>
      </c>
      <c r="AF588" s="1316">
        <f t="shared" si="199"/>
        <v>0</v>
      </c>
      <c r="AG588" s="1316">
        <f t="shared" si="199"/>
        <v>0</v>
      </c>
      <c r="AH588" s="1316">
        <f t="shared" si="199"/>
        <v>0</v>
      </c>
      <c r="AI588" s="1316">
        <f t="shared" si="199"/>
        <v>0</v>
      </c>
      <c r="AJ588" s="1316">
        <f t="shared" si="199"/>
        <v>0</v>
      </c>
      <c r="AK588" s="1316">
        <f t="shared" si="199"/>
        <v>0</v>
      </c>
      <c r="AL588" s="1316">
        <f t="shared" si="199"/>
        <v>0</v>
      </c>
      <c r="AM588" s="1316">
        <f t="shared" si="199"/>
        <v>0</v>
      </c>
      <c r="AN588" s="1316">
        <f t="shared" si="199"/>
        <v>0</v>
      </c>
      <c r="AO588" s="1316">
        <f t="shared" si="199"/>
        <v>0</v>
      </c>
      <c r="AP588" s="1316">
        <f t="shared" si="199"/>
        <v>0</v>
      </c>
      <c r="AQ588" s="1316">
        <f t="shared" si="199"/>
        <v>0</v>
      </c>
      <c r="AR588" s="1316">
        <f t="shared" si="199"/>
        <v>0</v>
      </c>
      <c r="AS588" s="1316">
        <f t="shared" si="199"/>
        <v>0</v>
      </c>
      <c r="AT588" s="1316">
        <f t="shared" si="199"/>
        <v>0</v>
      </c>
      <c r="AU588" s="1316">
        <f t="shared" si="199"/>
        <v>0</v>
      </c>
      <c r="AV588" s="1316">
        <f t="shared" si="199"/>
        <v>0</v>
      </c>
      <c r="AW588" s="1316">
        <f t="shared" si="199"/>
        <v>0</v>
      </c>
      <c r="AX588" s="1316">
        <f t="shared" si="199"/>
        <v>0</v>
      </c>
      <c r="AY588" s="1316">
        <f t="shared" si="199"/>
        <v>0</v>
      </c>
      <c r="AZ588" s="1316">
        <f t="shared" si="199"/>
        <v>0</v>
      </c>
      <c r="BA588" s="1316">
        <f t="shared" si="199"/>
        <v>0</v>
      </c>
      <c r="BB588" s="1316">
        <f t="shared" si="199"/>
        <v>0</v>
      </c>
      <c r="BC588" s="1316">
        <f t="shared" si="199"/>
        <v>0</v>
      </c>
      <c r="BD588" s="1316">
        <f t="shared" si="199"/>
        <v>0</v>
      </c>
      <c r="BE588" s="1317">
        <f t="shared" si="199"/>
        <v>0</v>
      </c>
    </row>
    <row r="589" spans="2:57" x14ac:dyDescent="0.25">
      <c r="B589" s="303"/>
      <c r="C589" s="304" t="s">
        <v>66</v>
      </c>
      <c r="D589" s="304"/>
      <c r="E589" s="304"/>
      <c r="F589" s="304"/>
      <c r="G589" s="314">
        <f>SUM(G586:G588)</f>
        <v>0</v>
      </c>
      <c r="H589" s="314">
        <f>SUM(H586:H588)</f>
        <v>0</v>
      </c>
      <c r="I589" s="314">
        <f t="shared" ref="I589:BE589" si="200">SUM(I586:I588)</f>
        <v>0</v>
      </c>
      <c r="J589" s="314">
        <f t="shared" si="200"/>
        <v>0</v>
      </c>
      <c r="K589" s="314">
        <f t="shared" si="200"/>
        <v>0</v>
      </c>
      <c r="L589" s="314">
        <f t="shared" si="200"/>
        <v>0</v>
      </c>
      <c r="M589" s="314">
        <f t="shared" si="200"/>
        <v>0</v>
      </c>
      <c r="N589" s="314">
        <f t="shared" si="200"/>
        <v>0</v>
      </c>
      <c r="O589" s="314">
        <f t="shared" si="200"/>
        <v>0</v>
      </c>
      <c r="P589" s="314">
        <f t="shared" si="200"/>
        <v>0</v>
      </c>
      <c r="Q589" s="314">
        <f t="shared" si="200"/>
        <v>0</v>
      </c>
      <c r="R589" s="314">
        <f t="shared" si="200"/>
        <v>0</v>
      </c>
      <c r="S589" s="314">
        <f t="shared" si="200"/>
        <v>0</v>
      </c>
      <c r="T589" s="314">
        <f t="shared" si="200"/>
        <v>0</v>
      </c>
      <c r="U589" s="314">
        <f t="shared" si="200"/>
        <v>0</v>
      </c>
      <c r="V589" s="314">
        <f t="shared" si="200"/>
        <v>0</v>
      </c>
      <c r="W589" s="314">
        <f t="shared" si="200"/>
        <v>0</v>
      </c>
      <c r="X589" s="314">
        <f t="shared" si="200"/>
        <v>0</v>
      </c>
      <c r="Y589" s="314">
        <f t="shared" si="200"/>
        <v>0</v>
      </c>
      <c r="Z589" s="314">
        <f t="shared" si="200"/>
        <v>0</v>
      </c>
      <c r="AA589" s="314">
        <f t="shared" si="200"/>
        <v>0</v>
      </c>
      <c r="AB589" s="314">
        <f t="shared" si="200"/>
        <v>0</v>
      </c>
      <c r="AC589" s="314">
        <f t="shared" si="200"/>
        <v>0</v>
      </c>
      <c r="AD589" s="314">
        <f t="shared" si="200"/>
        <v>0</v>
      </c>
      <c r="AE589" s="314">
        <f t="shared" si="200"/>
        <v>0</v>
      </c>
      <c r="AF589" s="314">
        <f t="shared" si="200"/>
        <v>0</v>
      </c>
      <c r="AG589" s="314">
        <f t="shared" si="200"/>
        <v>0</v>
      </c>
      <c r="AH589" s="314">
        <f t="shared" si="200"/>
        <v>0</v>
      </c>
      <c r="AI589" s="314">
        <f t="shared" si="200"/>
        <v>0</v>
      </c>
      <c r="AJ589" s="314">
        <f t="shared" si="200"/>
        <v>0</v>
      </c>
      <c r="AK589" s="314">
        <f t="shared" si="200"/>
        <v>0</v>
      </c>
      <c r="AL589" s="314">
        <f t="shared" si="200"/>
        <v>0</v>
      </c>
      <c r="AM589" s="314">
        <f t="shared" si="200"/>
        <v>0</v>
      </c>
      <c r="AN589" s="314">
        <f t="shared" si="200"/>
        <v>0</v>
      </c>
      <c r="AO589" s="314">
        <f t="shared" si="200"/>
        <v>0</v>
      </c>
      <c r="AP589" s="314">
        <f t="shared" si="200"/>
        <v>0</v>
      </c>
      <c r="AQ589" s="314">
        <f t="shared" si="200"/>
        <v>0</v>
      </c>
      <c r="AR589" s="314">
        <f t="shared" si="200"/>
        <v>0</v>
      </c>
      <c r="AS589" s="314">
        <f t="shared" si="200"/>
        <v>0</v>
      </c>
      <c r="AT589" s="314">
        <f t="shared" si="200"/>
        <v>0</v>
      </c>
      <c r="AU589" s="314">
        <f t="shared" si="200"/>
        <v>0</v>
      </c>
      <c r="AV589" s="314">
        <f t="shared" si="200"/>
        <v>0</v>
      </c>
      <c r="AW589" s="314">
        <f t="shared" si="200"/>
        <v>0</v>
      </c>
      <c r="AX589" s="314">
        <f t="shared" si="200"/>
        <v>0</v>
      </c>
      <c r="AY589" s="314">
        <f t="shared" si="200"/>
        <v>0</v>
      </c>
      <c r="AZ589" s="314">
        <f t="shared" si="200"/>
        <v>0</v>
      </c>
      <c r="BA589" s="314">
        <f t="shared" si="200"/>
        <v>0</v>
      </c>
      <c r="BB589" s="314">
        <f t="shared" si="200"/>
        <v>0</v>
      </c>
      <c r="BC589" s="314">
        <f t="shared" si="200"/>
        <v>0</v>
      </c>
      <c r="BD589" s="314">
        <f t="shared" si="200"/>
        <v>0</v>
      </c>
      <c r="BE589" s="1315">
        <f t="shared" si="200"/>
        <v>0</v>
      </c>
    </row>
    <row r="590" spans="2:57" x14ac:dyDescent="0.25">
      <c r="B590" s="303"/>
      <c r="C590" s="304"/>
      <c r="D590" s="304"/>
      <c r="E590" s="304"/>
      <c r="F590" s="304"/>
      <c r="G590" s="314"/>
      <c r="H590" s="314"/>
      <c r="I590" s="314"/>
      <c r="J590" s="314"/>
      <c r="K590" s="314"/>
      <c r="L590" s="314"/>
      <c r="M590" s="314"/>
      <c r="N590" s="314"/>
      <c r="O590" s="314"/>
      <c r="P590" s="314"/>
      <c r="Q590" s="314"/>
      <c r="R590" s="314"/>
      <c r="S590" s="314"/>
      <c r="T590" s="314"/>
      <c r="U590" s="314"/>
      <c r="V590" s="314"/>
      <c r="W590" s="314"/>
      <c r="X590" s="314"/>
      <c r="Y590" s="314"/>
      <c r="Z590" s="314"/>
      <c r="AA590" s="314"/>
      <c r="AB590" s="314"/>
      <c r="AC590" s="314"/>
      <c r="AD590" s="314"/>
      <c r="AE590" s="314"/>
      <c r="AF590" s="314"/>
      <c r="AG590" s="314"/>
      <c r="AH590" s="314"/>
      <c r="AI590" s="314"/>
      <c r="AJ590" s="314"/>
      <c r="AK590" s="314"/>
      <c r="AL590" s="314"/>
      <c r="AM590" s="314"/>
      <c r="AN590" s="314"/>
      <c r="AO590" s="314"/>
      <c r="AP590" s="314"/>
      <c r="AQ590" s="314"/>
      <c r="AR590" s="314"/>
      <c r="AS590" s="314"/>
      <c r="AT590" s="314"/>
      <c r="AU590" s="314"/>
      <c r="AV590" s="314"/>
      <c r="AW590" s="314"/>
      <c r="AX590" s="314"/>
      <c r="AY590" s="314"/>
      <c r="AZ590" s="314"/>
      <c r="BA590" s="314"/>
      <c r="BB590" s="314"/>
      <c r="BC590" s="314"/>
      <c r="BD590" s="314"/>
      <c r="BE590" s="1315"/>
    </row>
    <row r="591" spans="2:57" x14ac:dyDescent="0.25">
      <c r="B591" s="303"/>
      <c r="C591" s="403" t="s">
        <v>71</v>
      </c>
      <c r="D591" s="304"/>
      <c r="E591" s="304"/>
      <c r="F591" s="304"/>
      <c r="G591" s="314"/>
      <c r="H591" s="314"/>
      <c r="I591" s="314"/>
      <c r="J591" s="314"/>
      <c r="K591" s="314"/>
      <c r="L591" s="314"/>
      <c r="M591" s="314"/>
      <c r="N591" s="314"/>
      <c r="O591" s="314"/>
      <c r="P591" s="314"/>
      <c r="Q591" s="314"/>
      <c r="R591" s="314"/>
      <c r="S591" s="314"/>
      <c r="T591" s="314"/>
      <c r="U591" s="314"/>
      <c r="V591" s="314"/>
      <c r="W591" s="314"/>
      <c r="X591" s="314"/>
      <c r="Y591" s="314"/>
      <c r="Z591" s="314"/>
      <c r="AA591" s="314"/>
      <c r="AB591" s="314"/>
      <c r="AC591" s="314"/>
      <c r="AD591" s="314"/>
      <c r="AE591" s="314"/>
      <c r="AF591" s="314"/>
      <c r="AG591" s="314"/>
      <c r="AH591" s="314"/>
      <c r="AI591" s="314"/>
      <c r="AJ591" s="314"/>
      <c r="AK591" s="314"/>
      <c r="AL591" s="314"/>
      <c r="AM591" s="314"/>
      <c r="AN591" s="314"/>
      <c r="AO591" s="314"/>
      <c r="AP591" s="314"/>
      <c r="AQ591" s="314"/>
      <c r="AR591" s="314"/>
      <c r="AS591" s="314"/>
      <c r="AT591" s="314"/>
      <c r="AU591" s="314"/>
      <c r="AV591" s="314"/>
      <c r="AW591" s="314"/>
      <c r="AX591" s="314"/>
      <c r="AY591" s="314"/>
      <c r="AZ591" s="314"/>
      <c r="BA591" s="314"/>
      <c r="BB591" s="314"/>
      <c r="BC591" s="314"/>
      <c r="BD591" s="314"/>
      <c r="BE591" s="1315"/>
    </row>
    <row r="592" spans="2:57" x14ac:dyDescent="0.25">
      <c r="B592" s="303"/>
      <c r="C592" s="304" t="s">
        <v>236</v>
      </c>
      <c r="D592" s="304"/>
      <c r="E592" s="304"/>
      <c r="F592" s="304"/>
      <c r="G592" s="314"/>
      <c r="H592" s="314">
        <f>IF($G576&gt;0, $G576*'II. Inputs, Baseline Energy Mix'!$Q$51/10000,0)</f>
        <v>0</v>
      </c>
      <c r="I592" s="314">
        <v>0</v>
      </c>
      <c r="J592" s="314">
        <v>0</v>
      </c>
      <c r="K592" s="314">
        <v>0</v>
      </c>
      <c r="L592" s="314">
        <v>0</v>
      </c>
      <c r="M592" s="314">
        <v>0</v>
      </c>
      <c r="N592" s="314">
        <v>0</v>
      </c>
      <c r="O592" s="314">
        <v>0</v>
      </c>
      <c r="P592" s="314">
        <v>0</v>
      </c>
      <c r="Q592" s="314">
        <v>0</v>
      </c>
      <c r="R592" s="314">
        <v>0</v>
      </c>
      <c r="S592" s="314">
        <v>0</v>
      </c>
      <c r="T592" s="314">
        <v>0</v>
      </c>
      <c r="U592" s="314">
        <v>0</v>
      </c>
      <c r="V592" s="314">
        <v>0</v>
      </c>
      <c r="W592" s="314">
        <v>0</v>
      </c>
      <c r="X592" s="314">
        <v>0</v>
      </c>
      <c r="Y592" s="314">
        <v>0</v>
      </c>
      <c r="Z592" s="314">
        <v>0</v>
      </c>
      <c r="AA592" s="314">
        <v>0</v>
      </c>
      <c r="AB592" s="314">
        <v>0</v>
      </c>
      <c r="AC592" s="314">
        <v>0</v>
      </c>
      <c r="AD592" s="314">
        <v>0</v>
      </c>
      <c r="AE592" s="314">
        <v>0</v>
      </c>
      <c r="AF592" s="314">
        <v>0</v>
      </c>
      <c r="AG592" s="314">
        <v>0</v>
      </c>
      <c r="AH592" s="314">
        <v>0</v>
      </c>
      <c r="AI592" s="314">
        <v>0</v>
      </c>
      <c r="AJ592" s="314">
        <v>0</v>
      </c>
      <c r="AK592" s="314">
        <v>0</v>
      </c>
      <c r="AL592" s="314">
        <v>0</v>
      </c>
      <c r="AM592" s="314">
        <v>0</v>
      </c>
      <c r="AN592" s="314">
        <v>0</v>
      </c>
      <c r="AO592" s="314">
        <v>0</v>
      </c>
      <c r="AP592" s="314">
        <v>0</v>
      </c>
      <c r="AQ592" s="314">
        <v>0</v>
      </c>
      <c r="AR592" s="314">
        <v>0</v>
      </c>
      <c r="AS592" s="314">
        <v>0</v>
      </c>
      <c r="AT592" s="314">
        <v>0</v>
      </c>
      <c r="AU592" s="314">
        <v>0</v>
      </c>
      <c r="AV592" s="314">
        <v>0</v>
      </c>
      <c r="AW592" s="314">
        <v>0</v>
      </c>
      <c r="AX592" s="314">
        <v>0</v>
      </c>
      <c r="AY592" s="314">
        <v>0</v>
      </c>
      <c r="AZ592" s="314">
        <v>0</v>
      </c>
      <c r="BA592" s="314">
        <v>0</v>
      </c>
      <c r="BB592" s="314">
        <v>0</v>
      </c>
      <c r="BC592" s="314">
        <v>0</v>
      </c>
      <c r="BD592" s="314">
        <v>0</v>
      </c>
      <c r="BE592" s="1315">
        <v>0</v>
      </c>
    </row>
    <row r="593" spans="2:57" x14ac:dyDescent="0.25">
      <c r="B593" s="303"/>
      <c r="C593" s="304"/>
      <c r="D593" s="304"/>
      <c r="E593" s="304"/>
      <c r="F593" s="304"/>
      <c r="G593" s="304"/>
      <c r="H593" s="304"/>
      <c r="I593" s="304"/>
      <c r="J593" s="304"/>
      <c r="K593" s="304"/>
      <c r="L593" s="304"/>
      <c r="M593" s="304"/>
      <c r="N593" s="304"/>
      <c r="O593" s="304"/>
      <c r="P593" s="304"/>
      <c r="Q593" s="304"/>
      <c r="R593" s="304"/>
      <c r="S593" s="304"/>
      <c r="T593" s="304"/>
      <c r="U593" s="304"/>
      <c r="V593" s="304"/>
      <c r="W593" s="304"/>
      <c r="X593" s="304"/>
      <c r="Y593" s="304"/>
      <c r="Z593" s="304"/>
      <c r="AA593" s="304"/>
      <c r="AB593" s="304"/>
      <c r="AC593" s="304"/>
      <c r="AD593" s="304"/>
      <c r="AE593" s="304"/>
      <c r="AF593" s="304"/>
      <c r="AG593" s="304"/>
      <c r="AH593" s="304"/>
      <c r="AI593" s="304"/>
      <c r="AJ593" s="304"/>
      <c r="AK593" s="304"/>
      <c r="AL593" s="304"/>
      <c r="AM593" s="304"/>
      <c r="AN593" s="304"/>
      <c r="AO593" s="304"/>
      <c r="AP593" s="304"/>
      <c r="AQ593" s="304"/>
      <c r="AR593" s="304"/>
      <c r="AS593" s="304"/>
      <c r="AT593" s="304"/>
      <c r="AU593" s="304"/>
      <c r="AV593" s="304"/>
      <c r="AW593" s="304"/>
      <c r="AX593" s="304"/>
      <c r="AY593" s="304"/>
      <c r="AZ593" s="304"/>
      <c r="BA593" s="304"/>
      <c r="BB593" s="304"/>
      <c r="BC593" s="304"/>
      <c r="BD593" s="304"/>
      <c r="BE593" s="305"/>
    </row>
    <row r="594" spans="2:57" x14ac:dyDescent="0.25">
      <c r="B594" s="303"/>
      <c r="C594" s="304"/>
      <c r="D594" s="304"/>
      <c r="E594" s="304"/>
      <c r="F594" s="304"/>
      <c r="G594" s="304"/>
      <c r="H594" s="304"/>
      <c r="I594" s="304"/>
      <c r="J594" s="304"/>
      <c r="K594" s="304"/>
      <c r="L594" s="304"/>
      <c r="M594" s="304"/>
      <c r="N594" s="304"/>
      <c r="O594" s="304"/>
      <c r="P594" s="304"/>
      <c r="Q594" s="304"/>
      <c r="R594" s="304"/>
      <c r="S594" s="304"/>
      <c r="T594" s="304"/>
      <c r="U594" s="304"/>
      <c r="V594" s="304"/>
      <c r="W594" s="304"/>
      <c r="X594" s="304"/>
      <c r="Y594" s="304"/>
      <c r="Z594" s="304"/>
      <c r="AA594" s="304"/>
      <c r="AB594" s="304"/>
      <c r="AC594" s="304"/>
      <c r="AD594" s="304"/>
      <c r="AE594" s="304"/>
      <c r="AF594" s="304"/>
      <c r="AG594" s="304"/>
      <c r="AH594" s="304"/>
      <c r="AI594" s="304"/>
      <c r="AJ594" s="304"/>
      <c r="AK594" s="304"/>
      <c r="AL594" s="304"/>
      <c r="AM594" s="304"/>
      <c r="AN594" s="304"/>
      <c r="AO594" s="304"/>
      <c r="AP594" s="304"/>
      <c r="AQ594" s="304"/>
      <c r="AR594" s="304"/>
      <c r="AS594" s="304"/>
      <c r="AT594" s="304"/>
      <c r="AU594" s="304"/>
      <c r="AV594" s="304"/>
      <c r="AW594" s="304"/>
      <c r="AX594" s="304"/>
      <c r="AY594" s="304"/>
      <c r="AZ594" s="304"/>
      <c r="BA594" s="304"/>
      <c r="BB594" s="304"/>
      <c r="BC594" s="304"/>
      <c r="BD594" s="304"/>
      <c r="BE594" s="305"/>
    </row>
    <row r="595" spans="2:57" x14ac:dyDescent="0.25">
      <c r="B595" s="315" t="s">
        <v>86</v>
      </c>
      <c r="C595" s="304"/>
      <c r="D595" s="304"/>
      <c r="E595" s="304"/>
      <c r="F595" s="304"/>
      <c r="G595" s="304"/>
      <c r="H595" s="304"/>
      <c r="I595" s="304"/>
      <c r="J595" s="304"/>
      <c r="K595" s="304"/>
      <c r="L595" s="304"/>
      <c r="M595" s="304"/>
      <c r="N595" s="304"/>
      <c r="O595" s="304"/>
      <c r="P595" s="304"/>
      <c r="Q595" s="304"/>
      <c r="R595" s="304"/>
      <c r="S595" s="304"/>
      <c r="T595" s="304"/>
      <c r="U595" s="304"/>
      <c r="V595" s="304"/>
      <c r="W595" s="304"/>
      <c r="X595" s="304"/>
      <c r="Y595" s="304"/>
      <c r="Z595" s="304"/>
      <c r="AA595" s="304"/>
      <c r="AB595" s="304"/>
      <c r="AC595" s="304"/>
      <c r="AD595" s="304"/>
      <c r="AE595" s="304"/>
      <c r="AF595" s="304"/>
      <c r="AG595" s="304"/>
      <c r="AH595" s="304"/>
      <c r="AI595" s="304"/>
      <c r="AJ595" s="304"/>
      <c r="AK595" s="304"/>
      <c r="AL595" s="304"/>
      <c r="AM595" s="304"/>
      <c r="AN595" s="304"/>
      <c r="AO595" s="304"/>
      <c r="AP595" s="304"/>
      <c r="AQ595" s="304"/>
      <c r="AR595" s="304"/>
      <c r="AS595" s="304"/>
      <c r="AT595" s="304"/>
      <c r="AU595" s="304"/>
      <c r="AV595" s="304"/>
      <c r="AW595" s="304"/>
      <c r="AX595" s="304"/>
      <c r="AY595" s="304"/>
      <c r="AZ595" s="304"/>
      <c r="BA595" s="304"/>
      <c r="BB595" s="304"/>
      <c r="BC595" s="304"/>
      <c r="BD595" s="304"/>
      <c r="BE595" s="305"/>
    </row>
    <row r="596" spans="2:57" x14ac:dyDescent="0.25">
      <c r="B596" s="303"/>
      <c r="C596" s="400" t="s">
        <v>84</v>
      </c>
      <c r="D596" s="304"/>
      <c r="E596" s="304"/>
      <c r="F596" s="304"/>
      <c r="G596" s="314">
        <f>IF('II. Inputs, Baseline Energy Mix'!$Q$15&gt;0, ('II. Inputs, Baseline Energy Mix'!$Q$16*'II. Inputs, Baseline Energy Mix'!$Q$17*'II. Inputs, Baseline Energy Mix'!$Q$29*'II. Inputs, Baseline Energy Mix'!$Q$80),0)</f>
        <v>0</v>
      </c>
      <c r="H596" s="304"/>
      <c r="I596" s="304"/>
      <c r="J596" s="304"/>
      <c r="K596" s="304"/>
      <c r="L596" s="304"/>
      <c r="M596" s="304"/>
      <c r="N596" s="304"/>
      <c r="O596" s="304"/>
      <c r="P596" s="304"/>
      <c r="Q596" s="304"/>
      <c r="R596" s="304"/>
      <c r="S596" s="304"/>
      <c r="T596" s="304"/>
      <c r="U596" s="304"/>
      <c r="V596" s="304"/>
      <c r="W596" s="304"/>
      <c r="X596" s="304"/>
      <c r="Y596" s="304"/>
      <c r="Z596" s="304"/>
      <c r="AA596" s="304"/>
      <c r="AB596" s="304"/>
      <c r="AC596" s="304"/>
      <c r="AD596" s="304"/>
      <c r="AE596" s="304"/>
      <c r="AF596" s="304"/>
      <c r="AG596" s="304"/>
      <c r="AH596" s="304"/>
      <c r="AI596" s="304"/>
      <c r="AJ596" s="304"/>
      <c r="AK596" s="304"/>
      <c r="AL596" s="304"/>
      <c r="AM596" s="304"/>
      <c r="AN596" s="304"/>
      <c r="AO596" s="304"/>
      <c r="AP596" s="304"/>
      <c r="AQ596" s="304"/>
      <c r="AR596" s="304"/>
      <c r="AS596" s="304"/>
      <c r="AT596" s="304"/>
      <c r="AU596" s="304"/>
      <c r="AV596" s="304"/>
      <c r="AW596" s="304"/>
      <c r="AX596" s="304"/>
      <c r="AY596" s="304"/>
      <c r="AZ596" s="304"/>
      <c r="BA596" s="304"/>
      <c r="BB596" s="304"/>
      <c r="BC596" s="304"/>
      <c r="BD596" s="304"/>
      <c r="BE596" s="305"/>
    </row>
    <row r="597" spans="2:57" x14ac:dyDescent="0.25">
      <c r="B597" s="303"/>
      <c r="C597" s="400" t="str">
        <f>'II. Inputs, Baseline Energy Mix'!$E$81</f>
        <v xml:space="preserve">Term of Political Risk Insurance </v>
      </c>
      <c r="D597" s="304"/>
      <c r="E597" s="304"/>
      <c r="F597" s="304"/>
      <c r="G597" s="306">
        <f>'II. Inputs, Baseline Energy Mix'!$Q$81</f>
        <v>0</v>
      </c>
      <c r="H597" s="304"/>
      <c r="I597" s="304"/>
      <c r="J597" s="304"/>
      <c r="K597" s="304"/>
      <c r="L597" s="304"/>
      <c r="M597" s="304"/>
      <c r="N597" s="304"/>
      <c r="O597" s="304"/>
      <c r="P597" s="304"/>
      <c r="Q597" s="304"/>
      <c r="R597" s="304"/>
      <c r="S597" s="304"/>
      <c r="T597" s="304"/>
      <c r="U597" s="304"/>
      <c r="V597" s="304"/>
      <c r="W597" s="304"/>
      <c r="X597" s="304"/>
      <c r="Y597" s="304"/>
      <c r="Z597" s="304"/>
      <c r="AA597" s="304"/>
      <c r="AB597" s="304"/>
      <c r="AC597" s="304"/>
      <c r="AD597" s="304"/>
      <c r="AE597" s="304"/>
      <c r="AF597" s="304"/>
      <c r="AG597" s="304"/>
      <c r="AH597" s="304"/>
      <c r="AI597" s="304"/>
      <c r="AJ597" s="304"/>
      <c r="AK597" s="304"/>
      <c r="AL597" s="304"/>
      <c r="AM597" s="304"/>
      <c r="AN597" s="304"/>
      <c r="AO597" s="304"/>
      <c r="AP597" s="304"/>
      <c r="AQ597" s="304"/>
      <c r="AR597" s="304"/>
      <c r="AS597" s="304"/>
      <c r="AT597" s="304"/>
      <c r="AU597" s="304"/>
      <c r="AV597" s="304"/>
      <c r="AW597" s="304"/>
      <c r="AX597" s="304"/>
      <c r="AY597" s="304"/>
      <c r="AZ597" s="304"/>
      <c r="BA597" s="304"/>
      <c r="BB597" s="304"/>
      <c r="BC597" s="304"/>
      <c r="BD597" s="304"/>
      <c r="BE597" s="305"/>
    </row>
    <row r="598" spans="2:57" x14ac:dyDescent="0.25">
      <c r="B598" s="303"/>
      <c r="C598" s="400" t="str">
        <f>'II. Inputs, Baseline Energy Mix'!$E$82</f>
        <v xml:space="preserve">Front-end Fee </v>
      </c>
      <c r="D598" s="304"/>
      <c r="E598" s="304"/>
      <c r="F598" s="304"/>
      <c r="G598" s="314">
        <f>'II. Inputs, Baseline Energy Mix'!$Q$82</f>
        <v>0</v>
      </c>
      <c r="H598" s="304"/>
      <c r="I598" s="304"/>
      <c r="J598" s="304"/>
      <c r="K598" s="304"/>
      <c r="L598" s="304"/>
      <c r="M598" s="304"/>
      <c r="N598" s="304"/>
      <c r="O598" s="304"/>
      <c r="P598" s="304"/>
      <c r="Q598" s="304"/>
      <c r="R598" s="304"/>
      <c r="S598" s="304"/>
      <c r="T598" s="304"/>
      <c r="U598" s="304"/>
      <c r="V598" s="304"/>
      <c r="W598" s="304"/>
      <c r="X598" s="304"/>
      <c r="Y598" s="304"/>
      <c r="Z598" s="304"/>
      <c r="AA598" s="304"/>
      <c r="AB598" s="304"/>
      <c r="AC598" s="304"/>
      <c r="AD598" s="304"/>
      <c r="AE598" s="304"/>
      <c r="AF598" s="304"/>
      <c r="AG598" s="304"/>
      <c r="AH598" s="304"/>
      <c r="AI598" s="304"/>
      <c r="AJ598" s="304"/>
      <c r="AK598" s="304"/>
      <c r="AL598" s="304"/>
      <c r="AM598" s="304"/>
      <c r="AN598" s="304"/>
      <c r="AO598" s="304"/>
      <c r="AP598" s="304"/>
      <c r="AQ598" s="304"/>
      <c r="AR598" s="304"/>
      <c r="AS598" s="304"/>
      <c r="AT598" s="304"/>
      <c r="AU598" s="304"/>
      <c r="AV598" s="304"/>
      <c r="AW598" s="304"/>
      <c r="AX598" s="304"/>
      <c r="AY598" s="304"/>
      <c r="AZ598" s="304"/>
      <c r="BA598" s="304"/>
      <c r="BB598" s="304"/>
      <c r="BC598" s="304"/>
      <c r="BD598" s="304"/>
      <c r="BE598" s="305"/>
    </row>
    <row r="599" spans="2:57" x14ac:dyDescent="0.25">
      <c r="B599" s="303"/>
      <c r="C599" s="400" t="str">
        <f>'II. Inputs, Baseline Energy Mix'!$E$83</f>
        <v xml:space="preserve">Annual Political Risk Insurance Premium </v>
      </c>
      <c r="D599" s="304"/>
      <c r="E599" s="304"/>
      <c r="F599" s="304"/>
      <c r="G599" s="314">
        <f>'II. Inputs, Baseline Energy Mix'!$Q$83</f>
        <v>0</v>
      </c>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4"/>
      <c r="AL599" s="304"/>
      <c r="AM599" s="304"/>
      <c r="AN599" s="304"/>
      <c r="AO599" s="304"/>
      <c r="AP599" s="304"/>
      <c r="AQ599" s="304"/>
      <c r="AR599" s="304"/>
      <c r="AS599" s="304"/>
      <c r="AT599" s="304"/>
      <c r="AU599" s="304"/>
      <c r="AV599" s="304"/>
      <c r="AW599" s="304"/>
      <c r="AX599" s="304"/>
      <c r="AY599" s="304"/>
      <c r="AZ599" s="304"/>
      <c r="BA599" s="304"/>
      <c r="BB599" s="304"/>
      <c r="BC599" s="304"/>
      <c r="BD599" s="304"/>
      <c r="BE599" s="305"/>
    </row>
    <row r="600" spans="2:57" x14ac:dyDescent="0.25">
      <c r="B600" s="303"/>
      <c r="C600" s="304"/>
      <c r="D600" s="304"/>
      <c r="E600" s="304"/>
      <c r="F600" s="304"/>
      <c r="G600" s="304"/>
      <c r="H600" s="304"/>
      <c r="I600" s="304"/>
      <c r="J600" s="304"/>
      <c r="K600" s="304"/>
      <c r="L600" s="304"/>
      <c r="M600" s="304"/>
      <c r="N600" s="304"/>
      <c r="O600" s="304"/>
      <c r="P600" s="304"/>
      <c r="Q600" s="304"/>
      <c r="R600" s="304"/>
      <c r="S600" s="304"/>
      <c r="T600" s="304"/>
      <c r="U600" s="304"/>
      <c r="V600" s="304"/>
      <c r="W600" s="304"/>
      <c r="X600" s="304"/>
      <c r="Y600" s="304"/>
      <c r="Z600" s="304"/>
      <c r="AA600" s="304"/>
      <c r="AB600" s="304"/>
      <c r="AC600" s="304"/>
      <c r="AD600" s="304"/>
      <c r="AE600" s="304"/>
      <c r="AF600" s="304"/>
      <c r="AG600" s="304"/>
      <c r="AH600" s="304"/>
      <c r="AI600" s="304"/>
      <c r="AJ600" s="304"/>
      <c r="AK600" s="304"/>
      <c r="AL600" s="304"/>
      <c r="AM600" s="304"/>
      <c r="AN600" s="304"/>
      <c r="AO600" s="304"/>
      <c r="AP600" s="304"/>
      <c r="AQ600" s="304"/>
      <c r="AR600" s="304"/>
      <c r="AS600" s="304"/>
      <c r="AT600" s="304"/>
      <c r="AU600" s="304"/>
      <c r="AV600" s="304"/>
      <c r="AW600" s="304"/>
      <c r="AX600" s="304"/>
      <c r="AY600" s="304"/>
      <c r="AZ600" s="304"/>
      <c r="BA600" s="304"/>
      <c r="BB600" s="304"/>
      <c r="BC600" s="304"/>
      <c r="BD600" s="304"/>
      <c r="BE600" s="305"/>
    </row>
    <row r="601" spans="2:57" x14ac:dyDescent="0.25">
      <c r="B601" s="303"/>
      <c r="C601" s="403" t="s">
        <v>71</v>
      </c>
      <c r="D601" s="304"/>
      <c r="E601" s="304"/>
      <c r="F601" s="304"/>
      <c r="G601" s="304"/>
      <c r="H601" s="304"/>
      <c r="I601" s="304"/>
      <c r="J601" s="304"/>
      <c r="K601" s="304"/>
      <c r="L601" s="304"/>
      <c r="M601" s="304"/>
      <c r="N601" s="304"/>
      <c r="O601" s="304"/>
      <c r="P601" s="304"/>
      <c r="Q601" s="304"/>
      <c r="R601" s="304"/>
      <c r="S601" s="304"/>
      <c r="T601" s="304"/>
      <c r="U601" s="304"/>
      <c r="V601" s="304"/>
      <c r="W601" s="304"/>
      <c r="X601" s="304"/>
      <c r="Y601" s="304"/>
      <c r="Z601" s="304"/>
      <c r="AA601" s="304"/>
      <c r="AB601" s="304"/>
      <c r="AC601" s="304"/>
      <c r="AD601" s="304"/>
      <c r="AE601" s="304"/>
      <c r="AF601" s="304"/>
      <c r="AG601" s="304"/>
      <c r="AH601" s="304"/>
      <c r="AI601" s="304"/>
      <c r="AJ601" s="304"/>
      <c r="AK601" s="304"/>
      <c r="AL601" s="304"/>
      <c r="AM601" s="304"/>
      <c r="AN601" s="304"/>
      <c r="AO601" s="304"/>
      <c r="AP601" s="304"/>
      <c r="AQ601" s="304"/>
      <c r="AR601" s="304"/>
      <c r="AS601" s="304"/>
      <c r="AT601" s="304"/>
      <c r="AU601" s="304"/>
      <c r="AV601" s="304"/>
      <c r="AW601" s="304"/>
      <c r="AX601" s="304"/>
      <c r="AY601" s="304"/>
      <c r="AZ601" s="304"/>
      <c r="BA601" s="304"/>
      <c r="BB601" s="304"/>
      <c r="BC601" s="304"/>
      <c r="BD601" s="304"/>
      <c r="BE601" s="305"/>
    </row>
    <row r="602" spans="2:57" x14ac:dyDescent="0.25">
      <c r="B602" s="303"/>
      <c r="C602" s="304" t="str">
        <f>'II. Inputs, Baseline Energy Mix'!$E$82</f>
        <v xml:space="preserve">Front-end Fee </v>
      </c>
      <c r="D602" s="304"/>
      <c r="E602" s="304"/>
      <c r="F602" s="304"/>
      <c r="G602" s="304"/>
      <c r="H602" s="314">
        <f>IF(G596&gt;0, G596*G598/10000, 0)</f>
        <v>0</v>
      </c>
      <c r="I602" s="314">
        <v>0</v>
      </c>
      <c r="J602" s="314">
        <v>0</v>
      </c>
      <c r="K602" s="314">
        <v>0</v>
      </c>
      <c r="L602" s="314">
        <v>0</v>
      </c>
      <c r="M602" s="314">
        <v>0</v>
      </c>
      <c r="N602" s="314">
        <v>0</v>
      </c>
      <c r="O602" s="314">
        <v>0</v>
      </c>
      <c r="P602" s="314">
        <v>0</v>
      </c>
      <c r="Q602" s="314">
        <v>0</v>
      </c>
      <c r="R602" s="314">
        <v>0</v>
      </c>
      <c r="S602" s="314">
        <v>0</v>
      </c>
      <c r="T602" s="314">
        <v>0</v>
      </c>
      <c r="U602" s="314">
        <v>0</v>
      </c>
      <c r="V602" s="314">
        <v>0</v>
      </c>
      <c r="W602" s="314">
        <v>0</v>
      </c>
      <c r="X602" s="314">
        <v>0</v>
      </c>
      <c r="Y602" s="314">
        <v>0</v>
      </c>
      <c r="Z602" s="314">
        <v>0</v>
      </c>
      <c r="AA602" s="314">
        <v>0</v>
      </c>
      <c r="AB602" s="314">
        <v>0</v>
      </c>
      <c r="AC602" s="314">
        <v>0</v>
      </c>
      <c r="AD602" s="314">
        <v>0</v>
      </c>
      <c r="AE602" s="314">
        <v>0</v>
      </c>
      <c r="AF602" s="314">
        <v>0</v>
      </c>
      <c r="AG602" s="314">
        <v>0</v>
      </c>
      <c r="AH602" s="314">
        <v>0</v>
      </c>
      <c r="AI602" s="314">
        <v>0</v>
      </c>
      <c r="AJ602" s="314">
        <v>0</v>
      </c>
      <c r="AK602" s="314">
        <v>0</v>
      </c>
      <c r="AL602" s="314">
        <v>0</v>
      </c>
      <c r="AM602" s="314">
        <v>0</v>
      </c>
      <c r="AN602" s="314">
        <v>0</v>
      </c>
      <c r="AO602" s="314">
        <v>0</v>
      </c>
      <c r="AP602" s="314">
        <v>0</v>
      </c>
      <c r="AQ602" s="314">
        <v>0</v>
      </c>
      <c r="AR602" s="314">
        <v>0</v>
      </c>
      <c r="AS602" s="314">
        <v>0</v>
      </c>
      <c r="AT602" s="314">
        <v>0</v>
      </c>
      <c r="AU602" s="314">
        <v>0</v>
      </c>
      <c r="AV602" s="314">
        <v>0</v>
      </c>
      <c r="AW602" s="314">
        <v>0</v>
      </c>
      <c r="AX602" s="314">
        <v>0</v>
      </c>
      <c r="AY602" s="314">
        <v>0</v>
      </c>
      <c r="AZ602" s="314">
        <v>0</v>
      </c>
      <c r="BA602" s="314">
        <v>0</v>
      </c>
      <c r="BB602" s="314">
        <v>0</v>
      </c>
      <c r="BC602" s="314">
        <v>0</v>
      </c>
      <c r="BD602" s="314">
        <v>0</v>
      </c>
      <c r="BE602" s="1315">
        <v>0</v>
      </c>
    </row>
    <row r="603" spans="2:57" x14ac:dyDescent="0.25">
      <c r="B603" s="303"/>
      <c r="C603" s="311" t="str">
        <f>'II. Inputs, Baseline Energy Mix'!$E$83</f>
        <v xml:space="preserve">Annual Political Risk Insurance Premium </v>
      </c>
      <c r="D603" s="311"/>
      <c r="E603" s="311"/>
      <c r="F603" s="311"/>
      <c r="G603" s="311"/>
      <c r="H603" s="1316">
        <f>IF(H$299&gt;$G597,0,($G596*$G599/10000))</f>
        <v>0</v>
      </c>
      <c r="I603" s="1316">
        <f>IF(I$299&gt;$G597,0,($G596*$G599/10000))</f>
        <v>0</v>
      </c>
      <c r="J603" s="1316">
        <f t="shared" ref="J603:BE603" si="201">IF(J$299&gt;$G597,0,($G596*$G599/10000))</f>
        <v>0</v>
      </c>
      <c r="K603" s="1316">
        <f t="shared" si="201"/>
        <v>0</v>
      </c>
      <c r="L603" s="1316">
        <f t="shared" si="201"/>
        <v>0</v>
      </c>
      <c r="M603" s="1316">
        <f t="shared" si="201"/>
        <v>0</v>
      </c>
      <c r="N603" s="1316">
        <f t="shared" si="201"/>
        <v>0</v>
      </c>
      <c r="O603" s="1316">
        <f t="shared" si="201"/>
        <v>0</v>
      </c>
      <c r="P603" s="1316">
        <f t="shared" si="201"/>
        <v>0</v>
      </c>
      <c r="Q603" s="1316">
        <f t="shared" si="201"/>
        <v>0</v>
      </c>
      <c r="R603" s="1316">
        <f t="shared" si="201"/>
        <v>0</v>
      </c>
      <c r="S603" s="1316">
        <f t="shared" si="201"/>
        <v>0</v>
      </c>
      <c r="T603" s="1316">
        <f t="shared" si="201"/>
        <v>0</v>
      </c>
      <c r="U603" s="1316">
        <f t="shared" si="201"/>
        <v>0</v>
      </c>
      <c r="V603" s="1316">
        <f t="shared" si="201"/>
        <v>0</v>
      </c>
      <c r="W603" s="1316">
        <f t="shared" si="201"/>
        <v>0</v>
      </c>
      <c r="X603" s="1316">
        <f t="shared" si="201"/>
        <v>0</v>
      </c>
      <c r="Y603" s="1316">
        <f t="shared" si="201"/>
        <v>0</v>
      </c>
      <c r="Z603" s="1316">
        <f t="shared" si="201"/>
        <v>0</v>
      </c>
      <c r="AA603" s="1316">
        <f t="shared" si="201"/>
        <v>0</v>
      </c>
      <c r="AB603" s="1316">
        <f t="shared" si="201"/>
        <v>0</v>
      </c>
      <c r="AC603" s="1316">
        <f t="shared" si="201"/>
        <v>0</v>
      </c>
      <c r="AD603" s="1316">
        <f t="shared" si="201"/>
        <v>0</v>
      </c>
      <c r="AE603" s="1316">
        <f t="shared" si="201"/>
        <v>0</v>
      </c>
      <c r="AF603" s="1316">
        <f t="shared" si="201"/>
        <v>0</v>
      </c>
      <c r="AG603" s="1316">
        <f t="shared" si="201"/>
        <v>0</v>
      </c>
      <c r="AH603" s="1316">
        <f t="shared" si="201"/>
        <v>0</v>
      </c>
      <c r="AI603" s="1316">
        <f t="shared" si="201"/>
        <v>0</v>
      </c>
      <c r="AJ603" s="1316">
        <f t="shared" si="201"/>
        <v>0</v>
      </c>
      <c r="AK603" s="1316">
        <f t="shared" si="201"/>
        <v>0</v>
      </c>
      <c r="AL603" s="1316">
        <f t="shared" si="201"/>
        <v>0</v>
      </c>
      <c r="AM603" s="1316">
        <f t="shared" si="201"/>
        <v>0</v>
      </c>
      <c r="AN603" s="1316">
        <f t="shared" si="201"/>
        <v>0</v>
      </c>
      <c r="AO603" s="1316">
        <f t="shared" si="201"/>
        <v>0</v>
      </c>
      <c r="AP603" s="1316">
        <f t="shared" si="201"/>
        <v>0</v>
      </c>
      <c r="AQ603" s="1316">
        <f t="shared" si="201"/>
        <v>0</v>
      </c>
      <c r="AR603" s="1316">
        <f t="shared" si="201"/>
        <v>0</v>
      </c>
      <c r="AS603" s="1316">
        <f t="shared" si="201"/>
        <v>0</v>
      </c>
      <c r="AT603" s="1316">
        <f t="shared" si="201"/>
        <v>0</v>
      </c>
      <c r="AU603" s="1316">
        <f t="shared" si="201"/>
        <v>0</v>
      </c>
      <c r="AV603" s="1316">
        <f t="shared" si="201"/>
        <v>0</v>
      </c>
      <c r="AW603" s="1316">
        <f t="shared" si="201"/>
        <v>0</v>
      </c>
      <c r="AX603" s="1316">
        <f t="shared" si="201"/>
        <v>0</v>
      </c>
      <c r="AY603" s="1316">
        <f t="shared" si="201"/>
        <v>0</v>
      </c>
      <c r="AZ603" s="1316">
        <f t="shared" si="201"/>
        <v>0</v>
      </c>
      <c r="BA603" s="1316">
        <f t="shared" si="201"/>
        <v>0</v>
      </c>
      <c r="BB603" s="1316">
        <f t="shared" si="201"/>
        <v>0</v>
      </c>
      <c r="BC603" s="1316">
        <f t="shared" si="201"/>
        <v>0</v>
      </c>
      <c r="BD603" s="1316">
        <f t="shared" si="201"/>
        <v>0</v>
      </c>
      <c r="BE603" s="1317">
        <f t="shared" si="201"/>
        <v>0</v>
      </c>
    </row>
    <row r="604" spans="2:57" x14ac:dyDescent="0.25">
      <c r="B604" s="303"/>
      <c r="C604" s="304" t="s">
        <v>85</v>
      </c>
      <c r="D604" s="304"/>
      <c r="E604" s="304"/>
      <c r="F604" s="304"/>
      <c r="G604" s="304"/>
      <c r="H604" s="314">
        <f>H602+H603</f>
        <v>0</v>
      </c>
      <c r="I604" s="314">
        <f t="shared" ref="I604:BE604" si="202">I602+I603</f>
        <v>0</v>
      </c>
      <c r="J604" s="314">
        <f t="shared" si="202"/>
        <v>0</v>
      </c>
      <c r="K604" s="314">
        <f t="shared" si="202"/>
        <v>0</v>
      </c>
      <c r="L604" s="314">
        <f t="shared" si="202"/>
        <v>0</v>
      </c>
      <c r="M604" s="314">
        <f t="shared" si="202"/>
        <v>0</v>
      </c>
      <c r="N604" s="314">
        <f t="shared" si="202"/>
        <v>0</v>
      </c>
      <c r="O604" s="314">
        <f t="shared" si="202"/>
        <v>0</v>
      </c>
      <c r="P604" s="314">
        <f t="shared" si="202"/>
        <v>0</v>
      </c>
      <c r="Q604" s="314">
        <f t="shared" si="202"/>
        <v>0</v>
      </c>
      <c r="R604" s="314">
        <f t="shared" si="202"/>
        <v>0</v>
      </c>
      <c r="S604" s="314">
        <f t="shared" si="202"/>
        <v>0</v>
      </c>
      <c r="T604" s="314">
        <f t="shared" si="202"/>
        <v>0</v>
      </c>
      <c r="U604" s="314">
        <f t="shared" si="202"/>
        <v>0</v>
      </c>
      <c r="V604" s="314">
        <f t="shared" si="202"/>
        <v>0</v>
      </c>
      <c r="W604" s="314">
        <f t="shared" si="202"/>
        <v>0</v>
      </c>
      <c r="X604" s="314">
        <f t="shared" si="202"/>
        <v>0</v>
      </c>
      <c r="Y604" s="314">
        <f t="shared" si="202"/>
        <v>0</v>
      </c>
      <c r="Z604" s="314">
        <f t="shared" si="202"/>
        <v>0</v>
      </c>
      <c r="AA604" s="314">
        <f t="shared" si="202"/>
        <v>0</v>
      </c>
      <c r="AB604" s="314">
        <f t="shared" si="202"/>
        <v>0</v>
      </c>
      <c r="AC604" s="314">
        <f t="shared" si="202"/>
        <v>0</v>
      </c>
      <c r="AD604" s="314">
        <f t="shared" si="202"/>
        <v>0</v>
      </c>
      <c r="AE604" s="314">
        <f t="shared" si="202"/>
        <v>0</v>
      </c>
      <c r="AF604" s="314">
        <f t="shared" si="202"/>
        <v>0</v>
      </c>
      <c r="AG604" s="314">
        <f t="shared" si="202"/>
        <v>0</v>
      </c>
      <c r="AH604" s="314">
        <f t="shared" si="202"/>
        <v>0</v>
      </c>
      <c r="AI604" s="314">
        <f t="shared" si="202"/>
        <v>0</v>
      </c>
      <c r="AJ604" s="314">
        <f t="shared" si="202"/>
        <v>0</v>
      </c>
      <c r="AK604" s="314">
        <f t="shared" si="202"/>
        <v>0</v>
      </c>
      <c r="AL604" s="314">
        <f t="shared" si="202"/>
        <v>0</v>
      </c>
      <c r="AM604" s="314">
        <f t="shared" si="202"/>
        <v>0</v>
      </c>
      <c r="AN604" s="314">
        <f t="shared" si="202"/>
        <v>0</v>
      </c>
      <c r="AO604" s="314">
        <f t="shared" si="202"/>
        <v>0</v>
      </c>
      <c r="AP604" s="314">
        <f t="shared" si="202"/>
        <v>0</v>
      </c>
      <c r="AQ604" s="314">
        <f t="shared" si="202"/>
        <v>0</v>
      </c>
      <c r="AR604" s="314">
        <f t="shared" si="202"/>
        <v>0</v>
      </c>
      <c r="AS604" s="314">
        <f t="shared" si="202"/>
        <v>0</v>
      </c>
      <c r="AT604" s="314">
        <f t="shared" si="202"/>
        <v>0</v>
      </c>
      <c r="AU604" s="314">
        <f t="shared" si="202"/>
        <v>0</v>
      </c>
      <c r="AV604" s="314">
        <f t="shared" si="202"/>
        <v>0</v>
      </c>
      <c r="AW604" s="314">
        <f t="shared" si="202"/>
        <v>0</v>
      </c>
      <c r="AX604" s="314">
        <f t="shared" si="202"/>
        <v>0</v>
      </c>
      <c r="AY604" s="314">
        <f t="shared" si="202"/>
        <v>0</v>
      </c>
      <c r="AZ604" s="314">
        <f t="shared" si="202"/>
        <v>0</v>
      </c>
      <c r="BA604" s="314">
        <f t="shared" si="202"/>
        <v>0</v>
      </c>
      <c r="BB604" s="314">
        <f t="shared" si="202"/>
        <v>0</v>
      </c>
      <c r="BC604" s="314">
        <f t="shared" si="202"/>
        <v>0</v>
      </c>
      <c r="BD604" s="314">
        <f t="shared" si="202"/>
        <v>0</v>
      </c>
      <c r="BE604" s="1315">
        <f t="shared" si="202"/>
        <v>0</v>
      </c>
    </row>
    <row r="605" spans="2:57" ht="13.8" thickBot="1" x14ac:dyDescent="0.3">
      <c r="B605" s="405"/>
      <c r="C605" s="324"/>
      <c r="D605" s="324"/>
      <c r="E605" s="324"/>
      <c r="F605" s="324"/>
      <c r="G605" s="324"/>
      <c r="H605" s="325"/>
      <c r="I605" s="325"/>
      <c r="J605" s="325"/>
      <c r="K605" s="325"/>
      <c r="L605" s="325"/>
      <c r="M605" s="325"/>
      <c r="N605" s="325"/>
      <c r="O605" s="325"/>
      <c r="P605" s="325"/>
      <c r="Q605" s="325"/>
      <c r="R605" s="325"/>
      <c r="S605" s="325"/>
      <c r="T605" s="325"/>
      <c r="U605" s="325"/>
      <c r="V605" s="325"/>
      <c r="W605" s="325"/>
      <c r="X605" s="325"/>
      <c r="Y605" s="325"/>
      <c r="Z605" s="325"/>
      <c r="AA605" s="325"/>
      <c r="AB605" s="325"/>
      <c r="AC605" s="325"/>
      <c r="AD605" s="325"/>
      <c r="AE605" s="325"/>
      <c r="AF605" s="325"/>
      <c r="AG605" s="325"/>
      <c r="AH605" s="325"/>
      <c r="AI605" s="325"/>
      <c r="AJ605" s="325"/>
      <c r="AK605" s="325"/>
      <c r="AL605" s="325"/>
      <c r="AM605" s="325"/>
      <c r="AN605" s="325"/>
      <c r="AO605" s="325"/>
      <c r="AP605" s="325"/>
      <c r="AQ605" s="325"/>
      <c r="AR605" s="325"/>
      <c r="AS605" s="325"/>
      <c r="AT605" s="325"/>
      <c r="AU605" s="325"/>
      <c r="AV605" s="325"/>
      <c r="AW605" s="325"/>
      <c r="AX605" s="325"/>
      <c r="AY605" s="325"/>
      <c r="AZ605" s="325"/>
      <c r="BA605" s="325"/>
      <c r="BB605" s="325"/>
      <c r="BC605" s="325"/>
      <c r="BD605" s="325"/>
      <c r="BE605" s="406"/>
    </row>
    <row r="606" spans="2:57" x14ac:dyDescent="0.25">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249"/>
      <c r="AM606" s="249"/>
      <c r="AN606" s="249"/>
      <c r="AO606" s="249"/>
      <c r="AP606" s="249"/>
      <c r="AQ606" s="249"/>
      <c r="AR606" s="249"/>
      <c r="AS606" s="249"/>
      <c r="AT606" s="249"/>
      <c r="AU606" s="249"/>
      <c r="AV606" s="249"/>
      <c r="AW606" s="249"/>
      <c r="AX606" s="249"/>
      <c r="AY606" s="249"/>
      <c r="AZ606" s="249"/>
      <c r="BA606" s="249"/>
      <c r="BB606" s="249"/>
      <c r="BC606" s="249"/>
      <c r="BD606" s="249"/>
      <c r="BE606" s="249"/>
    </row>
    <row r="607" spans="2:57" s="36" customFormat="1" x14ac:dyDescent="0.25">
      <c r="B607" s="213" t="s">
        <v>58</v>
      </c>
      <c r="C607" s="214"/>
      <c r="D607" s="214"/>
      <c r="E607" s="215"/>
      <c r="F607" s="214"/>
      <c r="G607" s="215">
        <v>0</v>
      </c>
      <c r="H607" s="215">
        <v>1</v>
      </c>
      <c r="I607" s="215">
        <v>2</v>
      </c>
      <c r="J607" s="215">
        <v>3</v>
      </c>
      <c r="K607" s="215">
        <v>4</v>
      </c>
      <c r="L607" s="215">
        <v>5</v>
      </c>
      <c r="M607" s="215">
        <v>6</v>
      </c>
      <c r="N607" s="215">
        <v>7</v>
      </c>
      <c r="O607" s="215">
        <v>8</v>
      </c>
      <c r="P607" s="215">
        <v>9</v>
      </c>
      <c r="Q607" s="215">
        <v>10</v>
      </c>
      <c r="R607" s="215">
        <v>11</v>
      </c>
      <c r="S607" s="215">
        <v>12</v>
      </c>
      <c r="T607" s="215">
        <v>13</v>
      </c>
      <c r="U607" s="215">
        <v>14</v>
      </c>
      <c r="V607" s="215">
        <v>15</v>
      </c>
      <c r="W607" s="215">
        <v>16</v>
      </c>
      <c r="X607" s="215">
        <v>17</v>
      </c>
      <c r="Y607" s="215">
        <v>18</v>
      </c>
      <c r="Z607" s="215">
        <v>19</v>
      </c>
      <c r="AA607" s="215">
        <v>20</v>
      </c>
      <c r="AB607" s="215">
        <v>21</v>
      </c>
      <c r="AC607" s="215">
        <v>22</v>
      </c>
      <c r="AD607" s="215">
        <v>23</v>
      </c>
      <c r="AE607" s="215">
        <v>24</v>
      </c>
      <c r="AF607" s="215">
        <v>25</v>
      </c>
      <c r="AG607" s="215">
        <v>26</v>
      </c>
      <c r="AH607" s="215">
        <v>27</v>
      </c>
      <c r="AI607" s="215">
        <v>28</v>
      </c>
      <c r="AJ607" s="215">
        <v>29</v>
      </c>
      <c r="AK607" s="215">
        <v>30</v>
      </c>
      <c r="AL607" s="215">
        <v>31</v>
      </c>
      <c r="AM607" s="215">
        <v>32</v>
      </c>
      <c r="AN607" s="215">
        <v>33</v>
      </c>
      <c r="AO607" s="215">
        <v>34</v>
      </c>
      <c r="AP607" s="215">
        <v>35</v>
      </c>
      <c r="AQ607" s="215">
        <v>36</v>
      </c>
      <c r="AR607" s="215">
        <v>37</v>
      </c>
      <c r="AS607" s="215">
        <v>38</v>
      </c>
      <c r="AT607" s="215">
        <v>39</v>
      </c>
      <c r="AU607" s="215">
        <v>40</v>
      </c>
      <c r="AV607" s="215">
        <v>41</v>
      </c>
      <c r="AW607" s="215">
        <v>42</v>
      </c>
      <c r="AX607" s="215">
        <v>43</v>
      </c>
      <c r="AY607" s="215">
        <v>44</v>
      </c>
      <c r="AZ607" s="215">
        <v>45</v>
      </c>
      <c r="BA607" s="215">
        <v>46</v>
      </c>
      <c r="BB607" s="215">
        <v>47</v>
      </c>
      <c r="BC607" s="215">
        <v>48</v>
      </c>
      <c r="BD607" s="215">
        <v>49</v>
      </c>
      <c r="BE607" s="215">
        <v>50</v>
      </c>
    </row>
    <row r="608" spans="2:57" s="36" customFormat="1" ht="13.8" thickBot="1" x14ac:dyDescent="0.3">
      <c r="B608" s="1061"/>
      <c r="C608" s="43"/>
      <c r="D608" s="43"/>
      <c r="E608" s="207"/>
      <c r="F608" s="43"/>
      <c r="G608" s="207"/>
      <c r="H608" s="207"/>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07"/>
      <c r="AI608" s="207"/>
      <c r="AJ608" s="207"/>
      <c r="AK608" s="207"/>
      <c r="AL608" s="207"/>
      <c r="AM608" s="207"/>
      <c r="AN608" s="207"/>
      <c r="AO608" s="207"/>
      <c r="AP608" s="207"/>
      <c r="AQ608" s="207"/>
      <c r="AR608" s="207"/>
      <c r="AS608" s="207"/>
      <c r="AT608" s="207"/>
      <c r="AU608" s="207"/>
      <c r="AV608" s="207"/>
      <c r="AW608" s="207"/>
      <c r="AX608" s="207"/>
      <c r="AY608" s="207"/>
      <c r="AZ608" s="207"/>
      <c r="BA608" s="207"/>
      <c r="BB608" s="207"/>
      <c r="BC608" s="207"/>
      <c r="BD608" s="207"/>
      <c r="BE608" s="207"/>
    </row>
    <row r="609" spans="2:57" s="36" customFormat="1" x14ac:dyDescent="0.25">
      <c r="B609" s="328" t="str">
        <f>B204</f>
        <v>HEAVY FUEL OIL</v>
      </c>
      <c r="C609" s="329"/>
      <c r="D609" s="329"/>
      <c r="E609" s="329"/>
      <c r="F609" s="329"/>
      <c r="G609" s="329"/>
      <c r="H609" s="329"/>
      <c r="I609" s="329"/>
      <c r="J609" s="329"/>
      <c r="K609" s="329"/>
      <c r="L609" s="329"/>
      <c r="M609" s="329"/>
      <c r="N609" s="329"/>
      <c r="O609" s="329"/>
      <c r="P609" s="329"/>
      <c r="Q609" s="329"/>
      <c r="R609" s="329"/>
      <c r="S609" s="329"/>
      <c r="T609" s="329"/>
      <c r="U609" s="329"/>
      <c r="V609" s="329"/>
      <c r="W609" s="329"/>
      <c r="X609" s="329"/>
      <c r="Y609" s="329"/>
      <c r="Z609" s="329"/>
      <c r="AA609" s="329"/>
      <c r="AB609" s="329"/>
      <c r="AC609" s="329"/>
      <c r="AD609" s="329"/>
      <c r="AE609" s="329"/>
      <c r="AF609" s="329"/>
      <c r="AG609" s="329"/>
      <c r="AH609" s="329"/>
      <c r="AI609" s="329"/>
      <c r="AJ609" s="329"/>
      <c r="AK609" s="329"/>
      <c r="AL609" s="329"/>
      <c r="AM609" s="329"/>
      <c r="AN609" s="329"/>
      <c r="AO609" s="329"/>
      <c r="AP609" s="329"/>
      <c r="AQ609" s="329"/>
      <c r="AR609" s="329"/>
      <c r="AS609" s="329"/>
      <c r="AT609" s="329"/>
      <c r="AU609" s="329"/>
      <c r="AV609" s="329"/>
      <c r="AW609" s="329"/>
      <c r="AX609" s="329"/>
      <c r="AY609" s="329"/>
      <c r="AZ609" s="329"/>
      <c r="BA609" s="329"/>
      <c r="BB609" s="329"/>
      <c r="BC609" s="329"/>
      <c r="BD609" s="329"/>
      <c r="BE609" s="330"/>
    </row>
    <row r="610" spans="2:57" x14ac:dyDescent="0.25">
      <c r="B610" s="331"/>
      <c r="C610" s="332"/>
      <c r="D610" s="332"/>
      <c r="E610" s="332"/>
      <c r="F610" s="332"/>
      <c r="G610" s="332"/>
      <c r="H610" s="332"/>
      <c r="I610" s="332"/>
      <c r="J610" s="332"/>
      <c r="K610" s="332"/>
      <c r="L610" s="332"/>
      <c r="M610" s="332"/>
      <c r="N610" s="332"/>
      <c r="O610" s="332"/>
      <c r="P610" s="332"/>
      <c r="Q610" s="332"/>
      <c r="R610" s="332"/>
      <c r="S610" s="332"/>
      <c r="T610" s="332"/>
      <c r="U610" s="332"/>
      <c r="V610" s="332"/>
      <c r="W610" s="332"/>
      <c r="X610" s="332"/>
      <c r="Y610" s="332"/>
      <c r="Z610" s="332"/>
      <c r="AA610" s="332"/>
      <c r="AB610" s="332"/>
      <c r="AC610" s="332"/>
      <c r="AD610" s="332"/>
      <c r="AE610" s="332"/>
      <c r="AF610" s="332"/>
      <c r="AG610" s="332"/>
      <c r="AH610" s="332"/>
      <c r="AI610" s="332"/>
      <c r="AJ610" s="332"/>
      <c r="AK610" s="332"/>
      <c r="AL610" s="332"/>
      <c r="AM610" s="332"/>
      <c r="AN610" s="332"/>
      <c r="AO610" s="332"/>
      <c r="AP610" s="332"/>
      <c r="AQ610" s="332"/>
      <c r="AR610" s="332"/>
      <c r="AS610" s="332"/>
      <c r="AT610" s="332"/>
      <c r="AU610" s="332"/>
      <c r="AV610" s="332"/>
      <c r="AW610" s="332"/>
      <c r="AX610" s="332"/>
      <c r="AY610" s="332"/>
      <c r="AZ610" s="332"/>
      <c r="BA610" s="332"/>
      <c r="BB610" s="332"/>
      <c r="BC610" s="332"/>
      <c r="BD610" s="332"/>
      <c r="BE610" s="333"/>
    </row>
    <row r="611" spans="2:57" x14ac:dyDescent="0.25">
      <c r="B611" s="343" t="s">
        <v>257</v>
      </c>
      <c r="C611" s="332"/>
      <c r="D611" s="332"/>
      <c r="E611" s="332"/>
      <c r="F611" s="332"/>
      <c r="G611" s="332"/>
      <c r="H611" s="332"/>
      <c r="I611" s="332"/>
      <c r="J611" s="332"/>
      <c r="K611" s="332"/>
      <c r="L611" s="332"/>
      <c r="M611" s="332"/>
      <c r="N611" s="332"/>
      <c r="O611" s="332"/>
      <c r="P611" s="332"/>
      <c r="Q611" s="332"/>
      <c r="R611" s="332"/>
      <c r="S611" s="332"/>
      <c r="T611" s="332"/>
      <c r="U611" s="332"/>
      <c r="V611" s="332"/>
      <c r="W611" s="332"/>
      <c r="X611" s="332"/>
      <c r="Y611" s="332"/>
      <c r="Z611" s="332"/>
      <c r="AA611" s="332"/>
      <c r="AB611" s="332"/>
      <c r="AC611" s="332"/>
      <c r="AD611" s="332"/>
      <c r="AE611" s="332"/>
      <c r="AF611" s="332"/>
      <c r="AG611" s="332"/>
      <c r="AH611" s="332"/>
      <c r="AI611" s="332"/>
      <c r="AJ611" s="332"/>
      <c r="AK611" s="332"/>
      <c r="AL611" s="332"/>
      <c r="AM611" s="332"/>
      <c r="AN611" s="332"/>
      <c r="AO611" s="332"/>
      <c r="AP611" s="332"/>
      <c r="AQ611" s="332"/>
      <c r="AR611" s="332"/>
      <c r="AS611" s="332"/>
      <c r="AT611" s="332"/>
      <c r="AU611" s="332"/>
      <c r="AV611" s="332"/>
      <c r="AW611" s="332"/>
      <c r="AX611" s="332"/>
      <c r="AY611" s="332"/>
      <c r="AZ611" s="332"/>
      <c r="BA611" s="332"/>
      <c r="BB611" s="332"/>
      <c r="BC611" s="332"/>
      <c r="BD611" s="332"/>
      <c r="BE611" s="333"/>
    </row>
    <row r="612" spans="2:57" x14ac:dyDescent="0.25">
      <c r="B612" s="331"/>
      <c r="C612" s="407" t="s">
        <v>68</v>
      </c>
      <c r="D612" s="335" t="s">
        <v>22</v>
      </c>
      <c r="E612" s="332"/>
      <c r="F612" s="332"/>
      <c r="G612" s="342">
        <f>IF('II. Inputs, Baseline Energy Mix'!$R$15&gt;0,('II. Inputs, Baseline Energy Mix'!$R$16*'II. Inputs, Baseline Energy Mix'!$R$17*'II. Inputs, Baseline Energy Mix'!$R$30*'II. Inputs, Baseline Energy Mix'!$R$32),0)</f>
        <v>0</v>
      </c>
      <c r="H612" s="332"/>
      <c r="I612" s="332"/>
      <c r="J612" s="332"/>
      <c r="K612" s="332"/>
      <c r="L612" s="332"/>
      <c r="M612" s="332"/>
      <c r="N612" s="332"/>
      <c r="O612" s="332"/>
      <c r="P612" s="332"/>
      <c r="Q612" s="332"/>
      <c r="R612" s="332"/>
      <c r="S612" s="332"/>
      <c r="T612" s="332"/>
      <c r="U612" s="332"/>
      <c r="V612" s="332"/>
      <c r="W612" s="332"/>
      <c r="X612" s="332"/>
      <c r="Y612" s="332"/>
      <c r="Z612" s="332"/>
      <c r="AA612" s="332"/>
      <c r="AB612" s="332"/>
      <c r="AC612" s="332"/>
      <c r="AD612" s="332"/>
      <c r="AE612" s="332"/>
      <c r="AF612" s="332"/>
      <c r="AG612" s="332"/>
      <c r="AH612" s="332"/>
      <c r="AI612" s="332"/>
      <c r="AJ612" s="332"/>
      <c r="AK612" s="332"/>
      <c r="AL612" s="332"/>
      <c r="AM612" s="332"/>
      <c r="AN612" s="332"/>
      <c r="AO612" s="332"/>
      <c r="AP612" s="332"/>
      <c r="AQ612" s="332"/>
      <c r="AR612" s="332"/>
      <c r="AS612" s="332"/>
      <c r="AT612" s="332"/>
      <c r="AU612" s="332"/>
      <c r="AV612" s="332"/>
      <c r="AW612" s="332"/>
      <c r="AX612" s="332"/>
      <c r="AY612" s="332"/>
      <c r="AZ612" s="332"/>
      <c r="BA612" s="332"/>
      <c r="BB612" s="332"/>
      <c r="BC612" s="332"/>
      <c r="BD612" s="332"/>
      <c r="BE612" s="333"/>
    </row>
    <row r="613" spans="2:57" x14ac:dyDescent="0.25">
      <c r="B613" s="331"/>
      <c r="C613" s="407" t="s">
        <v>69</v>
      </c>
      <c r="D613" s="335" t="s">
        <v>20</v>
      </c>
      <c r="E613" s="332"/>
      <c r="F613" s="332"/>
      <c r="G613" s="334">
        <f>SUM('II. Inputs, Baseline Energy Mix'!$R$69)</f>
        <v>0</v>
      </c>
      <c r="H613" s="332"/>
      <c r="I613" s="332"/>
      <c r="J613" s="332"/>
      <c r="K613" s="332"/>
      <c r="L613" s="332"/>
      <c r="M613" s="332"/>
      <c r="N613" s="332"/>
      <c r="O613" s="332"/>
      <c r="P613" s="332"/>
      <c r="Q613" s="332"/>
      <c r="R613" s="332"/>
      <c r="S613" s="332"/>
      <c r="T613" s="332"/>
      <c r="U613" s="332"/>
      <c r="V613" s="332"/>
      <c r="W613" s="332"/>
      <c r="X613" s="332"/>
      <c r="Y613" s="332"/>
      <c r="Z613" s="332"/>
      <c r="AA613" s="332"/>
      <c r="AB613" s="332"/>
      <c r="AC613" s="332"/>
      <c r="AD613" s="332"/>
      <c r="AE613" s="332"/>
      <c r="AF613" s="332"/>
      <c r="AG613" s="332"/>
      <c r="AH613" s="332"/>
      <c r="AI613" s="332"/>
      <c r="AJ613" s="332"/>
      <c r="AK613" s="332"/>
      <c r="AL613" s="332"/>
      <c r="AM613" s="332"/>
      <c r="AN613" s="332"/>
      <c r="AO613" s="332"/>
      <c r="AP613" s="332"/>
      <c r="AQ613" s="332"/>
      <c r="AR613" s="332"/>
      <c r="AS613" s="332"/>
      <c r="AT613" s="332"/>
      <c r="AU613" s="332"/>
      <c r="AV613" s="332"/>
      <c r="AW613" s="332"/>
      <c r="AX613" s="332"/>
      <c r="AY613" s="332"/>
      <c r="AZ613" s="332"/>
      <c r="BA613" s="332"/>
      <c r="BB613" s="332"/>
      <c r="BC613" s="332"/>
      <c r="BD613" s="332"/>
      <c r="BE613" s="333"/>
    </row>
    <row r="614" spans="2:57" x14ac:dyDescent="0.25">
      <c r="B614" s="331"/>
      <c r="C614" s="407" t="s">
        <v>70</v>
      </c>
      <c r="D614" s="335" t="s">
        <v>16</v>
      </c>
      <c r="E614" s="332"/>
      <c r="F614" s="332"/>
      <c r="G614" s="408">
        <f>SUM('II. Inputs, Baseline Energy Mix'!$R$68)</f>
        <v>0</v>
      </c>
      <c r="H614" s="332"/>
      <c r="I614" s="332"/>
      <c r="J614" s="332"/>
      <c r="K614" s="332"/>
      <c r="L614" s="332"/>
      <c r="M614" s="332"/>
      <c r="N614" s="332"/>
      <c r="O614" s="332"/>
      <c r="P614" s="332"/>
      <c r="Q614" s="332"/>
      <c r="R614" s="332"/>
      <c r="S614" s="332"/>
      <c r="T614" s="332"/>
      <c r="U614" s="332"/>
      <c r="V614" s="332"/>
      <c r="W614" s="332"/>
      <c r="X614" s="332"/>
      <c r="Y614" s="332"/>
      <c r="Z614" s="332"/>
      <c r="AA614" s="332"/>
      <c r="AB614" s="332"/>
      <c r="AC614" s="332"/>
      <c r="AD614" s="332"/>
      <c r="AE614" s="332"/>
      <c r="AF614" s="332"/>
      <c r="AG614" s="332"/>
      <c r="AH614" s="332"/>
      <c r="AI614" s="332"/>
      <c r="AJ614" s="332"/>
      <c r="AK614" s="332"/>
      <c r="AL614" s="332"/>
      <c r="AM614" s="332"/>
      <c r="AN614" s="332"/>
      <c r="AO614" s="332"/>
      <c r="AP614" s="332"/>
      <c r="AQ614" s="332"/>
      <c r="AR614" s="332"/>
      <c r="AS614" s="332"/>
      <c r="AT614" s="332"/>
      <c r="AU614" s="332"/>
      <c r="AV614" s="332"/>
      <c r="AW614" s="332"/>
      <c r="AX614" s="332"/>
      <c r="AY614" s="332"/>
      <c r="AZ614" s="332"/>
      <c r="BA614" s="332"/>
      <c r="BB614" s="332"/>
      <c r="BC614" s="332"/>
      <c r="BD614" s="332"/>
      <c r="BE614" s="333"/>
    </row>
    <row r="615" spans="2:57" x14ac:dyDescent="0.25">
      <c r="B615" s="331"/>
      <c r="C615" s="332"/>
      <c r="D615" s="332"/>
      <c r="E615" s="332"/>
      <c r="F615" s="332"/>
      <c r="G615" s="332"/>
      <c r="H615" s="332"/>
      <c r="I615" s="332"/>
      <c r="J615" s="332"/>
      <c r="K615" s="332"/>
      <c r="L615" s="332"/>
      <c r="M615" s="332"/>
      <c r="N615" s="332"/>
      <c r="O615" s="332"/>
      <c r="P615" s="332"/>
      <c r="Q615" s="332"/>
      <c r="R615" s="332"/>
      <c r="S615" s="332"/>
      <c r="T615" s="332"/>
      <c r="U615" s="332"/>
      <c r="V615" s="332"/>
      <c r="W615" s="332"/>
      <c r="X615" s="332"/>
      <c r="Y615" s="332"/>
      <c r="Z615" s="332"/>
      <c r="AA615" s="332"/>
      <c r="AB615" s="332"/>
      <c r="AC615" s="332"/>
      <c r="AD615" s="332"/>
      <c r="AE615" s="332"/>
      <c r="AF615" s="332"/>
      <c r="AG615" s="332"/>
      <c r="AH615" s="332"/>
      <c r="AI615" s="332"/>
      <c r="AJ615" s="332"/>
      <c r="AK615" s="332"/>
      <c r="AL615" s="332"/>
      <c r="AM615" s="332"/>
      <c r="AN615" s="332"/>
      <c r="AO615" s="332"/>
      <c r="AP615" s="332"/>
      <c r="AQ615" s="332"/>
      <c r="AR615" s="332"/>
      <c r="AS615" s="332"/>
      <c r="AT615" s="332"/>
      <c r="AU615" s="332"/>
      <c r="AV615" s="332"/>
      <c r="AW615" s="332"/>
      <c r="AX615" s="332"/>
      <c r="AY615" s="332"/>
      <c r="AZ615" s="332"/>
      <c r="BA615" s="332"/>
      <c r="BB615" s="332"/>
      <c r="BC615" s="332"/>
      <c r="BD615" s="332"/>
      <c r="BE615" s="333"/>
    </row>
    <row r="616" spans="2:57" x14ac:dyDescent="0.25">
      <c r="B616" s="331"/>
      <c r="C616" s="409" t="s">
        <v>67</v>
      </c>
      <c r="D616" s="332"/>
      <c r="E616" s="332"/>
      <c r="F616" s="332"/>
      <c r="G616" s="332"/>
      <c r="H616" s="332"/>
      <c r="I616" s="332"/>
      <c r="J616" s="332"/>
      <c r="K616" s="332"/>
      <c r="L616" s="332"/>
      <c r="M616" s="332"/>
      <c r="N616" s="332"/>
      <c r="O616" s="332"/>
      <c r="P616" s="332"/>
      <c r="Q616" s="332"/>
      <c r="R616" s="332"/>
      <c r="S616" s="332"/>
      <c r="T616" s="332"/>
      <c r="U616" s="332"/>
      <c r="V616" s="332"/>
      <c r="W616" s="332"/>
      <c r="X616" s="332"/>
      <c r="Y616" s="332"/>
      <c r="Z616" s="332"/>
      <c r="AA616" s="332"/>
      <c r="AB616" s="332"/>
      <c r="AC616" s="332"/>
      <c r="AD616" s="332"/>
      <c r="AE616" s="332"/>
      <c r="AF616" s="332"/>
      <c r="AG616" s="332"/>
      <c r="AH616" s="332"/>
      <c r="AI616" s="332"/>
      <c r="AJ616" s="332"/>
      <c r="AK616" s="332"/>
      <c r="AL616" s="332"/>
      <c r="AM616" s="332"/>
      <c r="AN616" s="332"/>
      <c r="AO616" s="332"/>
      <c r="AP616" s="332"/>
      <c r="AQ616" s="332"/>
      <c r="AR616" s="332"/>
      <c r="AS616" s="332"/>
      <c r="AT616" s="332"/>
      <c r="AU616" s="332"/>
      <c r="AV616" s="332"/>
      <c r="AW616" s="332"/>
      <c r="AX616" s="332"/>
      <c r="AY616" s="332"/>
      <c r="AZ616" s="332"/>
      <c r="BA616" s="332"/>
      <c r="BB616" s="332"/>
      <c r="BC616" s="332"/>
      <c r="BD616" s="332"/>
      <c r="BE616" s="333"/>
    </row>
    <row r="617" spans="2:57" x14ac:dyDescent="0.25">
      <c r="B617" s="331"/>
      <c r="C617" s="332" t="s">
        <v>73</v>
      </c>
      <c r="D617" s="332"/>
      <c r="E617" s="332"/>
      <c r="F617" s="332"/>
      <c r="G617" s="342"/>
      <c r="H617" s="342">
        <f>IF(H$299&gt;$G613,0,IPMT($G614,H$299,$G613,-$G612))</f>
        <v>0</v>
      </c>
      <c r="I617" s="342">
        <f>IF(I$299&gt;$G613,0,IPMT($G614,I$299,$G613,-$G612))</f>
        <v>0</v>
      </c>
      <c r="J617" s="342">
        <f>IF(J$299&gt;$G613,0,IPMT($G614,J$299,$G613,-$G612))</f>
        <v>0</v>
      </c>
      <c r="K617" s="342">
        <f>IF(K$299&gt;$G613,0,IPMT($G614,K$299,$G613,-$G612))</f>
        <v>0</v>
      </c>
      <c r="L617" s="342">
        <f t="shared" ref="L617:BE617" si="203">IF(L$299&gt;$G613,0,IPMT($G614,L$299,$G613,-$G612))</f>
        <v>0</v>
      </c>
      <c r="M617" s="342">
        <f t="shared" si="203"/>
        <v>0</v>
      </c>
      <c r="N617" s="342">
        <f t="shared" si="203"/>
        <v>0</v>
      </c>
      <c r="O617" s="342">
        <f t="shared" si="203"/>
        <v>0</v>
      </c>
      <c r="P617" s="342">
        <f t="shared" si="203"/>
        <v>0</v>
      </c>
      <c r="Q617" s="342">
        <f t="shared" si="203"/>
        <v>0</v>
      </c>
      <c r="R617" s="342">
        <f t="shared" si="203"/>
        <v>0</v>
      </c>
      <c r="S617" s="342">
        <f t="shared" si="203"/>
        <v>0</v>
      </c>
      <c r="T617" s="342">
        <f t="shared" si="203"/>
        <v>0</v>
      </c>
      <c r="U617" s="342">
        <f t="shared" si="203"/>
        <v>0</v>
      </c>
      <c r="V617" s="342">
        <f t="shared" si="203"/>
        <v>0</v>
      </c>
      <c r="W617" s="342">
        <f t="shared" si="203"/>
        <v>0</v>
      </c>
      <c r="X617" s="342">
        <f t="shared" si="203"/>
        <v>0</v>
      </c>
      <c r="Y617" s="342">
        <f t="shared" si="203"/>
        <v>0</v>
      </c>
      <c r="Z617" s="342">
        <f t="shared" si="203"/>
        <v>0</v>
      </c>
      <c r="AA617" s="342">
        <f t="shared" si="203"/>
        <v>0</v>
      </c>
      <c r="AB617" s="342">
        <f t="shared" si="203"/>
        <v>0</v>
      </c>
      <c r="AC617" s="342">
        <f t="shared" si="203"/>
        <v>0</v>
      </c>
      <c r="AD617" s="342">
        <f t="shared" si="203"/>
        <v>0</v>
      </c>
      <c r="AE617" s="342">
        <f t="shared" si="203"/>
        <v>0</v>
      </c>
      <c r="AF617" s="342">
        <f t="shared" si="203"/>
        <v>0</v>
      </c>
      <c r="AG617" s="342">
        <f t="shared" si="203"/>
        <v>0</v>
      </c>
      <c r="AH617" s="342">
        <f t="shared" si="203"/>
        <v>0</v>
      </c>
      <c r="AI617" s="342">
        <f t="shared" si="203"/>
        <v>0</v>
      </c>
      <c r="AJ617" s="342">
        <f t="shared" si="203"/>
        <v>0</v>
      </c>
      <c r="AK617" s="342">
        <f t="shared" si="203"/>
        <v>0</v>
      </c>
      <c r="AL617" s="342">
        <f t="shared" si="203"/>
        <v>0</v>
      </c>
      <c r="AM617" s="342">
        <f t="shared" si="203"/>
        <v>0</v>
      </c>
      <c r="AN617" s="342">
        <f t="shared" si="203"/>
        <v>0</v>
      </c>
      <c r="AO617" s="342">
        <f t="shared" si="203"/>
        <v>0</v>
      </c>
      <c r="AP617" s="342">
        <f t="shared" si="203"/>
        <v>0</v>
      </c>
      <c r="AQ617" s="342">
        <f t="shared" si="203"/>
        <v>0</v>
      </c>
      <c r="AR617" s="342">
        <f t="shared" si="203"/>
        <v>0</v>
      </c>
      <c r="AS617" s="342">
        <f t="shared" si="203"/>
        <v>0</v>
      </c>
      <c r="AT617" s="342">
        <f t="shared" si="203"/>
        <v>0</v>
      </c>
      <c r="AU617" s="342">
        <f t="shared" si="203"/>
        <v>0</v>
      </c>
      <c r="AV617" s="342">
        <f t="shared" si="203"/>
        <v>0</v>
      </c>
      <c r="AW617" s="342">
        <f t="shared" si="203"/>
        <v>0</v>
      </c>
      <c r="AX617" s="342">
        <f t="shared" si="203"/>
        <v>0</v>
      </c>
      <c r="AY617" s="342">
        <f t="shared" si="203"/>
        <v>0</v>
      </c>
      <c r="AZ617" s="342">
        <f t="shared" si="203"/>
        <v>0</v>
      </c>
      <c r="BA617" s="342">
        <f t="shared" si="203"/>
        <v>0</v>
      </c>
      <c r="BB617" s="342">
        <f t="shared" si="203"/>
        <v>0</v>
      </c>
      <c r="BC617" s="342">
        <f t="shared" si="203"/>
        <v>0</v>
      </c>
      <c r="BD617" s="342">
        <f t="shared" si="203"/>
        <v>0</v>
      </c>
      <c r="BE617" s="1325">
        <f t="shared" si="203"/>
        <v>0</v>
      </c>
    </row>
    <row r="618" spans="2:57" x14ac:dyDescent="0.25">
      <c r="B618" s="331"/>
      <c r="C618" s="339" t="s">
        <v>72</v>
      </c>
      <c r="D618" s="339"/>
      <c r="E618" s="339"/>
      <c r="F618" s="339"/>
      <c r="G618" s="1326"/>
      <c r="H618" s="1326">
        <f>IF(H$299&gt;$G613,0,PPMT($G614,H$299,$G613,-$G612))</f>
        <v>0</v>
      </c>
      <c r="I618" s="1326">
        <f>IF(I$299&gt;$G613,0,PPMT($G614,I$299,$G613,-$G612))</f>
        <v>0</v>
      </c>
      <c r="J618" s="1326">
        <f>IF(J$299&gt;$G613,0,PPMT($G614,J$299,$G613,-$G612))</f>
        <v>0</v>
      </c>
      <c r="K618" s="1326">
        <f>IF(K$299&gt;$G613,0,PPMT($G614,K$299,$G613,-$G612))</f>
        <v>0</v>
      </c>
      <c r="L618" s="1326">
        <f t="shared" ref="L618:BE618" si="204">IF(L$299&gt;$G613,0,PPMT($G614,L$299,$G613,-$G612))</f>
        <v>0</v>
      </c>
      <c r="M618" s="1326">
        <f t="shared" si="204"/>
        <v>0</v>
      </c>
      <c r="N618" s="1326">
        <f t="shared" si="204"/>
        <v>0</v>
      </c>
      <c r="O618" s="1326">
        <f t="shared" si="204"/>
        <v>0</v>
      </c>
      <c r="P618" s="1326">
        <f t="shared" si="204"/>
        <v>0</v>
      </c>
      <c r="Q618" s="1326">
        <f t="shared" si="204"/>
        <v>0</v>
      </c>
      <c r="R618" s="1326">
        <f t="shared" si="204"/>
        <v>0</v>
      </c>
      <c r="S618" s="1326">
        <f t="shared" si="204"/>
        <v>0</v>
      </c>
      <c r="T618" s="1326">
        <f t="shared" si="204"/>
        <v>0</v>
      </c>
      <c r="U618" s="1326">
        <f t="shared" si="204"/>
        <v>0</v>
      </c>
      <c r="V618" s="1326">
        <f t="shared" si="204"/>
        <v>0</v>
      </c>
      <c r="W618" s="1326">
        <f t="shared" si="204"/>
        <v>0</v>
      </c>
      <c r="X618" s="1326">
        <f t="shared" si="204"/>
        <v>0</v>
      </c>
      <c r="Y618" s="1326">
        <f t="shared" si="204"/>
        <v>0</v>
      </c>
      <c r="Z618" s="1326">
        <f t="shared" si="204"/>
        <v>0</v>
      </c>
      <c r="AA618" s="1326">
        <f t="shared" si="204"/>
        <v>0</v>
      </c>
      <c r="AB618" s="1326">
        <f t="shared" si="204"/>
        <v>0</v>
      </c>
      <c r="AC618" s="1326">
        <f t="shared" si="204"/>
        <v>0</v>
      </c>
      <c r="AD618" s="1326">
        <f t="shared" si="204"/>
        <v>0</v>
      </c>
      <c r="AE618" s="1326">
        <f t="shared" si="204"/>
        <v>0</v>
      </c>
      <c r="AF618" s="1326">
        <f t="shared" si="204"/>
        <v>0</v>
      </c>
      <c r="AG618" s="1326">
        <f t="shared" si="204"/>
        <v>0</v>
      </c>
      <c r="AH618" s="1326">
        <f t="shared" si="204"/>
        <v>0</v>
      </c>
      <c r="AI618" s="1326">
        <f t="shared" si="204"/>
        <v>0</v>
      </c>
      <c r="AJ618" s="1326">
        <f t="shared" si="204"/>
        <v>0</v>
      </c>
      <c r="AK618" s="1326">
        <f t="shared" si="204"/>
        <v>0</v>
      </c>
      <c r="AL618" s="1326">
        <f t="shared" si="204"/>
        <v>0</v>
      </c>
      <c r="AM618" s="1326">
        <f t="shared" si="204"/>
        <v>0</v>
      </c>
      <c r="AN618" s="1326">
        <f t="shared" si="204"/>
        <v>0</v>
      </c>
      <c r="AO618" s="1326">
        <f t="shared" si="204"/>
        <v>0</v>
      </c>
      <c r="AP618" s="1326">
        <f t="shared" si="204"/>
        <v>0</v>
      </c>
      <c r="AQ618" s="1326">
        <f t="shared" si="204"/>
        <v>0</v>
      </c>
      <c r="AR618" s="1326">
        <f t="shared" si="204"/>
        <v>0</v>
      </c>
      <c r="AS618" s="1326">
        <f t="shared" si="204"/>
        <v>0</v>
      </c>
      <c r="AT618" s="1326">
        <f t="shared" si="204"/>
        <v>0</v>
      </c>
      <c r="AU618" s="1326">
        <f t="shared" si="204"/>
        <v>0</v>
      </c>
      <c r="AV618" s="1326">
        <f t="shared" si="204"/>
        <v>0</v>
      </c>
      <c r="AW618" s="1326">
        <f t="shared" si="204"/>
        <v>0</v>
      </c>
      <c r="AX618" s="1326">
        <f t="shared" si="204"/>
        <v>0</v>
      </c>
      <c r="AY618" s="1326">
        <f t="shared" si="204"/>
        <v>0</v>
      </c>
      <c r="AZ618" s="1326">
        <f t="shared" si="204"/>
        <v>0</v>
      </c>
      <c r="BA618" s="1326">
        <f t="shared" si="204"/>
        <v>0</v>
      </c>
      <c r="BB618" s="1326">
        <f t="shared" si="204"/>
        <v>0</v>
      </c>
      <c r="BC618" s="1326">
        <f t="shared" si="204"/>
        <v>0</v>
      </c>
      <c r="BD618" s="1326">
        <f t="shared" si="204"/>
        <v>0</v>
      </c>
      <c r="BE618" s="1327">
        <f t="shared" si="204"/>
        <v>0</v>
      </c>
    </row>
    <row r="619" spans="2:57" x14ac:dyDescent="0.25">
      <c r="B619" s="331"/>
      <c r="C619" s="332" t="s">
        <v>74</v>
      </c>
      <c r="D619" s="332"/>
      <c r="E619" s="332"/>
      <c r="F619" s="332"/>
      <c r="G619" s="342"/>
      <c r="H619" s="342">
        <f>SUM(H617:H618)</f>
        <v>0</v>
      </c>
      <c r="I619" s="342">
        <f t="shared" ref="I619:BE619" si="205">SUM(I617:I618)</f>
        <v>0</v>
      </c>
      <c r="J619" s="342">
        <f t="shared" si="205"/>
        <v>0</v>
      </c>
      <c r="K619" s="342">
        <f t="shared" si="205"/>
        <v>0</v>
      </c>
      <c r="L619" s="342">
        <f t="shared" si="205"/>
        <v>0</v>
      </c>
      <c r="M619" s="342">
        <f t="shared" si="205"/>
        <v>0</v>
      </c>
      <c r="N619" s="342">
        <f t="shared" si="205"/>
        <v>0</v>
      </c>
      <c r="O619" s="342">
        <f t="shared" si="205"/>
        <v>0</v>
      </c>
      <c r="P619" s="342">
        <f t="shared" si="205"/>
        <v>0</v>
      </c>
      <c r="Q619" s="342">
        <f t="shared" si="205"/>
        <v>0</v>
      </c>
      <c r="R619" s="342">
        <f t="shared" si="205"/>
        <v>0</v>
      </c>
      <c r="S619" s="342">
        <f t="shared" si="205"/>
        <v>0</v>
      </c>
      <c r="T619" s="342">
        <f t="shared" si="205"/>
        <v>0</v>
      </c>
      <c r="U619" s="342">
        <f t="shared" si="205"/>
        <v>0</v>
      </c>
      <c r="V619" s="342">
        <f t="shared" si="205"/>
        <v>0</v>
      </c>
      <c r="W619" s="342">
        <f t="shared" si="205"/>
        <v>0</v>
      </c>
      <c r="X619" s="342">
        <f t="shared" si="205"/>
        <v>0</v>
      </c>
      <c r="Y619" s="342">
        <f t="shared" si="205"/>
        <v>0</v>
      </c>
      <c r="Z619" s="342">
        <f t="shared" si="205"/>
        <v>0</v>
      </c>
      <c r="AA619" s="342">
        <f t="shared" si="205"/>
        <v>0</v>
      </c>
      <c r="AB619" s="342">
        <f t="shared" si="205"/>
        <v>0</v>
      </c>
      <c r="AC619" s="342">
        <f t="shared" si="205"/>
        <v>0</v>
      </c>
      <c r="AD619" s="342">
        <f t="shared" si="205"/>
        <v>0</v>
      </c>
      <c r="AE619" s="342">
        <f t="shared" si="205"/>
        <v>0</v>
      </c>
      <c r="AF619" s="342">
        <f t="shared" si="205"/>
        <v>0</v>
      </c>
      <c r="AG619" s="342">
        <f t="shared" si="205"/>
        <v>0</v>
      </c>
      <c r="AH619" s="342">
        <f t="shared" si="205"/>
        <v>0</v>
      </c>
      <c r="AI619" s="342">
        <f t="shared" si="205"/>
        <v>0</v>
      </c>
      <c r="AJ619" s="342">
        <f t="shared" si="205"/>
        <v>0</v>
      </c>
      <c r="AK619" s="342">
        <f t="shared" si="205"/>
        <v>0</v>
      </c>
      <c r="AL619" s="342">
        <f t="shared" si="205"/>
        <v>0</v>
      </c>
      <c r="AM619" s="342">
        <f t="shared" si="205"/>
        <v>0</v>
      </c>
      <c r="AN619" s="342">
        <f t="shared" si="205"/>
        <v>0</v>
      </c>
      <c r="AO619" s="342">
        <f t="shared" si="205"/>
        <v>0</v>
      </c>
      <c r="AP619" s="342">
        <f t="shared" si="205"/>
        <v>0</v>
      </c>
      <c r="AQ619" s="342">
        <f t="shared" si="205"/>
        <v>0</v>
      </c>
      <c r="AR619" s="342">
        <f t="shared" si="205"/>
        <v>0</v>
      </c>
      <c r="AS619" s="342">
        <f t="shared" si="205"/>
        <v>0</v>
      </c>
      <c r="AT619" s="342">
        <f t="shared" si="205"/>
        <v>0</v>
      </c>
      <c r="AU619" s="342">
        <f t="shared" si="205"/>
        <v>0</v>
      </c>
      <c r="AV619" s="342">
        <f t="shared" si="205"/>
        <v>0</v>
      </c>
      <c r="AW619" s="342">
        <f t="shared" si="205"/>
        <v>0</v>
      </c>
      <c r="AX619" s="342">
        <f t="shared" si="205"/>
        <v>0</v>
      </c>
      <c r="AY619" s="342">
        <f t="shared" si="205"/>
        <v>0</v>
      </c>
      <c r="AZ619" s="342">
        <f t="shared" si="205"/>
        <v>0</v>
      </c>
      <c r="BA619" s="342">
        <f t="shared" si="205"/>
        <v>0</v>
      </c>
      <c r="BB619" s="342">
        <f t="shared" si="205"/>
        <v>0</v>
      </c>
      <c r="BC619" s="342">
        <f t="shared" si="205"/>
        <v>0</v>
      </c>
      <c r="BD619" s="342">
        <f t="shared" si="205"/>
        <v>0</v>
      </c>
      <c r="BE619" s="1325">
        <f t="shared" si="205"/>
        <v>0</v>
      </c>
    </row>
    <row r="620" spans="2:57" x14ac:dyDescent="0.25">
      <c r="B620" s="331"/>
      <c r="C620" s="332"/>
      <c r="D620" s="332"/>
      <c r="E620" s="332"/>
      <c r="F620" s="332"/>
      <c r="G620" s="342"/>
      <c r="H620" s="342"/>
      <c r="I620" s="342"/>
      <c r="J620" s="342"/>
      <c r="K620" s="342"/>
      <c r="L620" s="342"/>
      <c r="M620" s="342"/>
      <c r="N620" s="342"/>
      <c r="O620" s="342"/>
      <c r="P620" s="342"/>
      <c r="Q620" s="342"/>
      <c r="R620" s="342"/>
      <c r="S620" s="342"/>
      <c r="T620" s="342"/>
      <c r="U620" s="342"/>
      <c r="V620" s="342"/>
      <c r="W620" s="342"/>
      <c r="X620" s="342"/>
      <c r="Y620" s="342"/>
      <c r="Z620" s="342"/>
      <c r="AA620" s="342"/>
      <c r="AB620" s="342"/>
      <c r="AC620" s="342"/>
      <c r="AD620" s="342"/>
      <c r="AE620" s="342"/>
      <c r="AF620" s="342"/>
      <c r="AG620" s="342"/>
      <c r="AH620" s="342"/>
      <c r="AI620" s="342"/>
      <c r="AJ620" s="342"/>
      <c r="AK620" s="342"/>
      <c r="AL620" s="342"/>
      <c r="AM620" s="342"/>
      <c r="AN620" s="342"/>
      <c r="AO620" s="342"/>
      <c r="AP620" s="342"/>
      <c r="AQ620" s="342"/>
      <c r="AR620" s="342"/>
      <c r="AS620" s="342"/>
      <c r="AT620" s="342"/>
      <c r="AU620" s="342"/>
      <c r="AV620" s="342"/>
      <c r="AW620" s="342"/>
      <c r="AX620" s="342"/>
      <c r="AY620" s="342"/>
      <c r="AZ620" s="342"/>
      <c r="BA620" s="342"/>
      <c r="BB620" s="342"/>
      <c r="BC620" s="342"/>
      <c r="BD620" s="342"/>
      <c r="BE620" s="1325"/>
    </row>
    <row r="621" spans="2:57" x14ac:dyDescent="0.25">
      <c r="B621" s="331"/>
      <c r="C621" s="410" t="s">
        <v>65</v>
      </c>
      <c r="D621" s="332"/>
      <c r="E621" s="332"/>
      <c r="F621" s="332"/>
      <c r="G621" s="342"/>
      <c r="H621" s="342"/>
      <c r="I621" s="342"/>
      <c r="J621" s="342"/>
      <c r="K621" s="342"/>
      <c r="L621" s="342"/>
      <c r="M621" s="342"/>
      <c r="N621" s="342"/>
      <c r="O621" s="342"/>
      <c r="P621" s="342"/>
      <c r="Q621" s="342"/>
      <c r="R621" s="342"/>
      <c r="S621" s="342"/>
      <c r="T621" s="342"/>
      <c r="U621" s="342"/>
      <c r="V621" s="342"/>
      <c r="W621" s="342"/>
      <c r="X621" s="342"/>
      <c r="Y621" s="342"/>
      <c r="Z621" s="342"/>
      <c r="AA621" s="342"/>
      <c r="AB621" s="342"/>
      <c r="AC621" s="342"/>
      <c r="AD621" s="342"/>
      <c r="AE621" s="342"/>
      <c r="AF621" s="342"/>
      <c r="AG621" s="342"/>
      <c r="AH621" s="342"/>
      <c r="AI621" s="342"/>
      <c r="AJ621" s="342"/>
      <c r="AK621" s="342"/>
      <c r="AL621" s="342"/>
      <c r="AM621" s="342"/>
      <c r="AN621" s="342"/>
      <c r="AO621" s="342"/>
      <c r="AP621" s="342"/>
      <c r="AQ621" s="342"/>
      <c r="AR621" s="342"/>
      <c r="AS621" s="342"/>
      <c r="AT621" s="342"/>
      <c r="AU621" s="342"/>
      <c r="AV621" s="342"/>
      <c r="AW621" s="342"/>
      <c r="AX621" s="342"/>
      <c r="AY621" s="342"/>
      <c r="AZ621" s="342"/>
      <c r="BA621" s="342"/>
      <c r="BB621" s="342"/>
      <c r="BC621" s="342"/>
      <c r="BD621" s="342"/>
      <c r="BE621" s="1325"/>
    </row>
    <row r="622" spans="2:57" x14ac:dyDescent="0.25">
      <c r="B622" s="331"/>
      <c r="C622" s="332" t="s">
        <v>75</v>
      </c>
      <c r="D622" s="332"/>
      <c r="E622" s="332"/>
      <c r="F622" s="332"/>
      <c r="G622" s="342">
        <v>0</v>
      </c>
      <c r="H622" s="342">
        <f t="shared" ref="H622:AM622" si="206">G625</f>
        <v>0</v>
      </c>
      <c r="I622" s="342">
        <f t="shared" si="206"/>
        <v>0</v>
      </c>
      <c r="J622" s="342">
        <f t="shared" si="206"/>
        <v>0</v>
      </c>
      <c r="K622" s="342">
        <f t="shared" si="206"/>
        <v>0</v>
      </c>
      <c r="L622" s="342">
        <f t="shared" si="206"/>
        <v>0</v>
      </c>
      <c r="M622" s="342">
        <f t="shared" si="206"/>
        <v>0</v>
      </c>
      <c r="N622" s="342">
        <f t="shared" si="206"/>
        <v>0</v>
      </c>
      <c r="O622" s="342">
        <f t="shared" si="206"/>
        <v>0</v>
      </c>
      <c r="P622" s="342">
        <f t="shared" si="206"/>
        <v>0</v>
      </c>
      <c r="Q622" s="342">
        <f t="shared" si="206"/>
        <v>0</v>
      </c>
      <c r="R622" s="342">
        <f t="shared" si="206"/>
        <v>0</v>
      </c>
      <c r="S622" s="342">
        <f t="shared" si="206"/>
        <v>0</v>
      </c>
      <c r="T622" s="342">
        <f t="shared" si="206"/>
        <v>0</v>
      </c>
      <c r="U622" s="342">
        <f t="shared" si="206"/>
        <v>0</v>
      </c>
      <c r="V622" s="342">
        <f t="shared" si="206"/>
        <v>0</v>
      </c>
      <c r="W622" s="342">
        <f t="shared" si="206"/>
        <v>0</v>
      </c>
      <c r="X622" s="342">
        <f t="shared" si="206"/>
        <v>0</v>
      </c>
      <c r="Y622" s="342">
        <f t="shared" si="206"/>
        <v>0</v>
      </c>
      <c r="Z622" s="342">
        <f t="shared" si="206"/>
        <v>0</v>
      </c>
      <c r="AA622" s="342">
        <f t="shared" si="206"/>
        <v>0</v>
      </c>
      <c r="AB622" s="342">
        <f t="shared" si="206"/>
        <v>0</v>
      </c>
      <c r="AC622" s="342">
        <f t="shared" si="206"/>
        <v>0</v>
      </c>
      <c r="AD622" s="342">
        <f t="shared" si="206"/>
        <v>0</v>
      </c>
      <c r="AE622" s="342">
        <f t="shared" si="206"/>
        <v>0</v>
      </c>
      <c r="AF622" s="342">
        <f t="shared" si="206"/>
        <v>0</v>
      </c>
      <c r="AG622" s="342">
        <f t="shared" si="206"/>
        <v>0</v>
      </c>
      <c r="AH622" s="342">
        <f t="shared" si="206"/>
        <v>0</v>
      </c>
      <c r="AI622" s="342">
        <f t="shared" si="206"/>
        <v>0</v>
      </c>
      <c r="AJ622" s="342">
        <f t="shared" si="206"/>
        <v>0</v>
      </c>
      <c r="AK622" s="342">
        <f t="shared" si="206"/>
        <v>0</v>
      </c>
      <c r="AL622" s="342">
        <f t="shared" si="206"/>
        <v>0</v>
      </c>
      <c r="AM622" s="342">
        <f t="shared" si="206"/>
        <v>0</v>
      </c>
      <c r="AN622" s="342">
        <f t="shared" ref="AN622:BE622" si="207">AM625</f>
        <v>0</v>
      </c>
      <c r="AO622" s="342">
        <f t="shared" si="207"/>
        <v>0</v>
      </c>
      <c r="AP622" s="342">
        <f t="shared" si="207"/>
        <v>0</v>
      </c>
      <c r="AQ622" s="342">
        <f t="shared" si="207"/>
        <v>0</v>
      </c>
      <c r="AR622" s="342">
        <f t="shared" si="207"/>
        <v>0</v>
      </c>
      <c r="AS622" s="342">
        <f t="shared" si="207"/>
        <v>0</v>
      </c>
      <c r="AT622" s="342">
        <f t="shared" si="207"/>
        <v>0</v>
      </c>
      <c r="AU622" s="342">
        <f t="shared" si="207"/>
        <v>0</v>
      </c>
      <c r="AV622" s="342">
        <f t="shared" si="207"/>
        <v>0</v>
      </c>
      <c r="AW622" s="342">
        <f t="shared" si="207"/>
        <v>0</v>
      </c>
      <c r="AX622" s="342">
        <f t="shared" si="207"/>
        <v>0</v>
      </c>
      <c r="AY622" s="342">
        <f t="shared" si="207"/>
        <v>0</v>
      </c>
      <c r="AZ622" s="342">
        <f t="shared" si="207"/>
        <v>0</v>
      </c>
      <c r="BA622" s="342">
        <f t="shared" si="207"/>
        <v>0</v>
      </c>
      <c r="BB622" s="342">
        <f t="shared" si="207"/>
        <v>0</v>
      </c>
      <c r="BC622" s="342">
        <f t="shared" si="207"/>
        <v>0</v>
      </c>
      <c r="BD622" s="342">
        <f t="shared" si="207"/>
        <v>0</v>
      </c>
      <c r="BE622" s="1325">
        <f t="shared" si="207"/>
        <v>0</v>
      </c>
    </row>
    <row r="623" spans="2:57" x14ac:dyDescent="0.25">
      <c r="B623" s="331"/>
      <c r="C623" s="332" t="s">
        <v>76</v>
      </c>
      <c r="D623" s="332"/>
      <c r="E623" s="332"/>
      <c r="F623" s="332"/>
      <c r="G623" s="342">
        <f>G612</f>
        <v>0</v>
      </c>
      <c r="H623" s="342">
        <v>0</v>
      </c>
      <c r="I623" s="342">
        <v>0</v>
      </c>
      <c r="J623" s="342">
        <v>0</v>
      </c>
      <c r="K623" s="342">
        <v>0</v>
      </c>
      <c r="L623" s="342">
        <v>0</v>
      </c>
      <c r="M623" s="342">
        <v>0</v>
      </c>
      <c r="N623" s="342">
        <v>0</v>
      </c>
      <c r="O623" s="342">
        <v>0</v>
      </c>
      <c r="P623" s="342">
        <v>0</v>
      </c>
      <c r="Q623" s="342">
        <v>0</v>
      </c>
      <c r="R623" s="342">
        <v>0</v>
      </c>
      <c r="S623" s="342">
        <v>0</v>
      </c>
      <c r="T623" s="342">
        <v>0</v>
      </c>
      <c r="U623" s="342">
        <v>0</v>
      </c>
      <c r="V623" s="342">
        <v>0</v>
      </c>
      <c r="W623" s="342">
        <v>0</v>
      </c>
      <c r="X623" s="342">
        <v>0</v>
      </c>
      <c r="Y623" s="342">
        <v>0</v>
      </c>
      <c r="Z623" s="342">
        <v>0</v>
      </c>
      <c r="AA623" s="342">
        <v>0</v>
      </c>
      <c r="AB623" s="342">
        <v>0</v>
      </c>
      <c r="AC623" s="342">
        <v>0</v>
      </c>
      <c r="AD623" s="342">
        <v>0</v>
      </c>
      <c r="AE623" s="342">
        <v>0</v>
      </c>
      <c r="AF623" s="342">
        <v>0</v>
      </c>
      <c r="AG623" s="342">
        <v>0</v>
      </c>
      <c r="AH623" s="342">
        <v>0</v>
      </c>
      <c r="AI623" s="342">
        <v>0</v>
      </c>
      <c r="AJ623" s="342">
        <v>0</v>
      </c>
      <c r="AK623" s="342">
        <v>0</v>
      </c>
      <c r="AL623" s="342">
        <v>0</v>
      </c>
      <c r="AM623" s="342">
        <v>0</v>
      </c>
      <c r="AN623" s="342">
        <v>0</v>
      </c>
      <c r="AO623" s="342">
        <v>0</v>
      </c>
      <c r="AP623" s="342">
        <v>0</v>
      </c>
      <c r="AQ623" s="342">
        <v>0</v>
      </c>
      <c r="AR623" s="342">
        <v>0</v>
      </c>
      <c r="AS623" s="342">
        <v>0</v>
      </c>
      <c r="AT623" s="342">
        <v>0</v>
      </c>
      <c r="AU623" s="342">
        <v>0</v>
      </c>
      <c r="AV623" s="342">
        <v>0</v>
      </c>
      <c r="AW623" s="342">
        <v>0</v>
      </c>
      <c r="AX623" s="342">
        <v>0</v>
      </c>
      <c r="AY623" s="342">
        <v>0</v>
      </c>
      <c r="AZ623" s="342">
        <v>0</v>
      </c>
      <c r="BA623" s="342">
        <v>0</v>
      </c>
      <c r="BB623" s="342">
        <v>0</v>
      </c>
      <c r="BC623" s="342">
        <v>0</v>
      </c>
      <c r="BD623" s="342">
        <v>0</v>
      </c>
      <c r="BE623" s="1325">
        <v>0</v>
      </c>
    </row>
    <row r="624" spans="2:57" x14ac:dyDescent="0.25">
      <c r="B624" s="331"/>
      <c r="C624" s="339" t="s">
        <v>77</v>
      </c>
      <c r="D624" s="339"/>
      <c r="E624" s="339"/>
      <c r="F624" s="339"/>
      <c r="G624" s="1326">
        <v>0</v>
      </c>
      <c r="H624" s="1326">
        <f t="shared" ref="H624:BE624" si="208">-H618</f>
        <v>0</v>
      </c>
      <c r="I624" s="1326">
        <f t="shared" si="208"/>
        <v>0</v>
      </c>
      <c r="J624" s="1326">
        <f t="shared" si="208"/>
        <v>0</v>
      </c>
      <c r="K624" s="1326">
        <f t="shared" si="208"/>
        <v>0</v>
      </c>
      <c r="L624" s="1326">
        <f t="shared" si="208"/>
        <v>0</v>
      </c>
      <c r="M624" s="1326">
        <f t="shared" si="208"/>
        <v>0</v>
      </c>
      <c r="N624" s="1326">
        <f t="shared" si="208"/>
        <v>0</v>
      </c>
      <c r="O624" s="1326">
        <f t="shared" si="208"/>
        <v>0</v>
      </c>
      <c r="P624" s="1326">
        <f t="shared" si="208"/>
        <v>0</v>
      </c>
      <c r="Q624" s="1326">
        <f t="shared" si="208"/>
        <v>0</v>
      </c>
      <c r="R624" s="1326">
        <f t="shared" si="208"/>
        <v>0</v>
      </c>
      <c r="S624" s="1326">
        <f t="shared" si="208"/>
        <v>0</v>
      </c>
      <c r="T624" s="1326">
        <f t="shared" si="208"/>
        <v>0</v>
      </c>
      <c r="U624" s="1326">
        <f t="shared" si="208"/>
        <v>0</v>
      </c>
      <c r="V624" s="1326">
        <f t="shared" si="208"/>
        <v>0</v>
      </c>
      <c r="W624" s="1326">
        <f t="shared" si="208"/>
        <v>0</v>
      </c>
      <c r="X624" s="1326">
        <f t="shared" si="208"/>
        <v>0</v>
      </c>
      <c r="Y624" s="1326">
        <f t="shared" si="208"/>
        <v>0</v>
      </c>
      <c r="Z624" s="1326">
        <f t="shared" si="208"/>
        <v>0</v>
      </c>
      <c r="AA624" s="1326">
        <f t="shared" si="208"/>
        <v>0</v>
      </c>
      <c r="AB624" s="1326">
        <f t="shared" si="208"/>
        <v>0</v>
      </c>
      <c r="AC624" s="1326">
        <f t="shared" si="208"/>
        <v>0</v>
      </c>
      <c r="AD624" s="1326">
        <f t="shared" si="208"/>
        <v>0</v>
      </c>
      <c r="AE624" s="1326">
        <f t="shared" si="208"/>
        <v>0</v>
      </c>
      <c r="AF624" s="1326">
        <f t="shared" si="208"/>
        <v>0</v>
      </c>
      <c r="AG624" s="1326">
        <f t="shared" si="208"/>
        <v>0</v>
      </c>
      <c r="AH624" s="1326">
        <f t="shared" si="208"/>
        <v>0</v>
      </c>
      <c r="AI624" s="1326">
        <f t="shared" si="208"/>
        <v>0</v>
      </c>
      <c r="AJ624" s="1326">
        <f t="shared" si="208"/>
        <v>0</v>
      </c>
      <c r="AK624" s="1326">
        <f t="shared" si="208"/>
        <v>0</v>
      </c>
      <c r="AL624" s="1326">
        <f t="shared" si="208"/>
        <v>0</v>
      </c>
      <c r="AM624" s="1326">
        <f t="shared" si="208"/>
        <v>0</v>
      </c>
      <c r="AN624" s="1326">
        <f t="shared" si="208"/>
        <v>0</v>
      </c>
      <c r="AO624" s="1326">
        <f t="shared" si="208"/>
        <v>0</v>
      </c>
      <c r="AP624" s="1326">
        <f t="shared" si="208"/>
        <v>0</v>
      </c>
      <c r="AQ624" s="1326">
        <f t="shared" si="208"/>
        <v>0</v>
      </c>
      <c r="AR624" s="1326">
        <f t="shared" si="208"/>
        <v>0</v>
      </c>
      <c r="AS624" s="1326">
        <f t="shared" si="208"/>
        <v>0</v>
      </c>
      <c r="AT624" s="1326">
        <f t="shared" si="208"/>
        <v>0</v>
      </c>
      <c r="AU624" s="1326">
        <f t="shared" si="208"/>
        <v>0</v>
      </c>
      <c r="AV624" s="1326">
        <f t="shared" si="208"/>
        <v>0</v>
      </c>
      <c r="AW624" s="1326">
        <f t="shared" si="208"/>
        <v>0</v>
      </c>
      <c r="AX624" s="1326">
        <f t="shared" si="208"/>
        <v>0</v>
      </c>
      <c r="AY624" s="1326">
        <f t="shared" si="208"/>
        <v>0</v>
      </c>
      <c r="AZ624" s="1326">
        <f t="shared" si="208"/>
        <v>0</v>
      </c>
      <c r="BA624" s="1326">
        <f t="shared" si="208"/>
        <v>0</v>
      </c>
      <c r="BB624" s="1326">
        <f t="shared" si="208"/>
        <v>0</v>
      </c>
      <c r="BC624" s="1326">
        <f t="shared" si="208"/>
        <v>0</v>
      </c>
      <c r="BD624" s="1326">
        <f t="shared" si="208"/>
        <v>0</v>
      </c>
      <c r="BE624" s="1327">
        <f t="shared" si="208"/>
        <v>0</v>
      </c>
    </row>
    <row r="625" spans="2:58" x14ac:dyDescent="0.25">
      <c r="B625" s="331"/>
      <c r="C625" s="332" t="s">
        <v>66</v>
      </c>
      <c r="D625" s="332"/>
      <c r="E625" s="332"/>
      <c r="F625" s="332"/>
      <c r="G625" s="342">
        <f t="shared" ref="G625:BE625" si="209">SUM(G622:G624)</f>
        <v>0</v>
      </c>
      <c r="H625" s="342">
        <f t="shared" si="209"/>
        <v>0</v>
      </c>
      <c r="I625" s="342">
        <f t="shared" si="209"/>
        <v>0</v>
      </c>
      <c r="J625" s="342">
        <f t="shared" si="209"/>
        <v>0</v>
      </c>
      <c r="K625" s="342">
        <f t="shared" si="209"/>
        <v>0</v>
      </c>
      <c r="L625" s="342">
        <f t="shared" si="209"/>
        <v>0</v>
      </c>
      <c r="M625" s="342">
        <f t="shared" si="209"/>
        <v>0</v>
      </c>
      <c r="N625" s="342">
        <f t="shared" si="209"/>
        <v>0</v>
      </c>
      <c r="O625" s="342">
        <f t="shared" si="209"/>
        <v>0</v>
      </c>
      <c r="P625" s="342">
        <f t="shared" si="209"/>
        <v>0</v>
      </c>
      <c r="Q625" s="342">
        <f t="shared" si="209"/>
        <v>0</v>
      </c>
      <c r="R625" s="342">
        <f t="shared" si="209"/>
        <v>0</v>
      </c>
      <c r="S625" s="342">
        <f t="shared" si="209"/>
        <v>0</v>
      </c>
      <c r="T625" s="342">
        <f t="shared" si="209"/>
        <v>0</v>
      </c>
      <c r="U625" s="342">
        <f t="shared" si="209"/>
        <v>0</v>
      </c>
      <c r="V625" s="342">
        <f t="shared" si="209"/>
        <v>0</v>
      </c>
      <c r="W625" s="342">
        <f t="shared" si="209"/>
        <v>0</v>
      </c>
      <c r="X625" s="342">
        <f t="shared" si="209"/>
        <v>0</v>
      </c>
      <c r="Y625" s="342">
        <f t="shared" si="209"/>
        <v>0</v>
      </c>
      <c r="Z625" s="342">
        <f t="shared" si="209"/>
        <v>0</v>
      </c>
      <c r="AA625" s="342">
        <f t="shared" si="209"/>
        <v>0</v>
      </c>
      <c r="AB625" s="342">
        <f t="shared" si="209"/>
        <v>0</v>
      </c>
      <c r="AC625" s="342">
        <f t="shared" si="209"/>
        <v>0</v>
      </c>
      <c r="AD625" s="342">
        <f t="shared" si="209"/>
        <v>0</v>
      </c>
      <c r="AE625" s="342">
        <f t="shared" si="209"/>
        <v>0</v>
      </c>
      <c r="AF625" s="342">
        <f t="shared" si="209"/>
        <v>0</v>
      </c>
      <c r="AG625" s="342">
        <f t="shared" si="209"/>
        <v>0</v>
      </c>
      <c r="AH625" s="342">
        <f t="shared" si="209"/>
        <v>0</v>
      </c>
      <c r="AI625" s="342">
        <f t="shared" si="209"/>
        <v>0</v>
      </c>
      <c r="AJ625" s="342">
        <f t="shared" si="209"/>
        <v>0</v>
      </c>
      <c r="AK625" s="342">
        <f t="shared" si="209"/>
        <v>0</v>
      </c>
      <c r="AL625" s="342">
        <f t="shared" si="209"/>
        <v>0</v>
      </c>
      <c r="AM625" s="342">
        <f t="shared" si="209"/>
        <v>0</v>
      </c>
      <c r="AN625" s="342">
        <f t="shared" si="209"/>
        <v>0</v>
      </c>
      <c r="AO625" s="342">
        <f t="shared" si="209"/>
        <v>0</v>
      </c>
      <c r="AP625" s="342">
        <f t="shared" si="209"/>
        <v>0</v>
      </c>
      <c r="AQ625" s="342">
        <f t="shared" si="209"/>
        <v>0</v>
      </c>
      <c r="AR625" s="342">
        <f t="shared" si="209"/>
        <v>0</v>
      </c>
      <c r="AS625" s="342">
        <f t="shared" si="209"/>
        <v>0</v>
      </c>
      <c r="AT625" s="342">
        <f t="shared" si="209"/>
        <v>0</v>
      </c>
      <c r="AU625" s="342">
        <f t="shared" si="209"/>
        <v>0</v>
      </c>
      <c r="AV625" s="342">
        <f t="shared" si="209"/>
        <v>0</v>
      </c>
      <c r="AW625" s="342">
        <f t="shared" si="209"/>
        <v>0</v>
      </c>
      <c r="AX625" s="342">
        <f t="shared" si="209"/>
        <v>0</v>
      </c>
      <c r="AY625" s="342">
        <f t="shared" si="209"/>
        <v>0</v>
      </c>
      <c r="AZ625" s="342">
        <f t="shared" si="209"/>
        <v>0</v>
      </c>
      <c r="BA625" s="342">
        <f t="shared" si="209"/>
        <v>0</v>
      </c>
      <c r="BB625" s="342">
        <f t="shared" si="209"/>
        <v>0</v>
      </c>
      <c r="BC625" s="342">
        <f t="shared" si="209"/>
        <v>0</v>
      </c>
      <c r="BD625" s="342">
        <f t="shared" si="209"/>
        <v>0</v>
      </c>
      <c r="BE625" s="1325">
        <f t="shared" si="209"/>
        <v>0</v>
      </c>
    </row>
    <row r="626" spans="2:58" x14ac:dyDescent="0.25">
      <c r="B626" s="331"/>
      <c r="C626" s="332"/>
      <c r="D626" s="332"/>
      <c r="E626" s="332"/>
      <c r="F626" s="332"/>
      <c r="G626" s="342"/>
      <c r="H626" s="342"/>
      <c r="I626" s="342"/>
      <c r="J626" s="342"/>
      <c r="K626" s="342"/>
      <c r="L626" s="342"/>
      <c r="M626" s="342"/>
      <c r="N626" s="342"/>
      <c r="O626" s="342"/>
      <c r="P626" s="342"/>
      <c r="Q626" s="342"/>
      <c r="R626" s="342"/>
      <c r="S626" s="342"/>
      <c r="T626" s="342"/>
      <c r="U626" s="342"/>
      <c r="V626" s="342"/>
      <c r="W626" s="342"/>
      <c r="X626" s="342"/>
      <c r="Y626" s="342"/>
      <c r="Z626" s="342"/>
      <c r="AA626" s="342"/>
      <c r="AB626" s="342"/>
      <c r="AC626" s="342"/>
      <c r="AD626" s="342"/>
      <c r="AE626" s="342"/>
      <c r="AF626" s="342"/>
      <c r="AG626" s="342"/>
      <c r="AH626" s="342"/>
      <c r="AI626" s="342"/>
      <c r="AJ626" s="342"/>
      <c r="AK626" s="342"/>
      <c r="AL626" s="342"/>
      <c r="AM626" s="342"/>
      <c r="AN626" s="342"/>
      <c r="AO626" s="342"/>
      <c r="AP626" s="342"/>
      <c r="AQ626" s="342"/>
      <c r="AR626" s="342"/>
      <c r="AS626" s="342"/>
      <c r="AT626" s="342"/>
      <c r="AU626" s="342"/>
      <c r="AV626" s="342"/>
      <c r="AW626" s="342"/>
      <c r="AX626" s="342"/>
      <c r="AY626" s="342"/>
      <c r="AZ626" s="342"/>
      <c r="BA626" s="342"/>
      <c r="BB626" s="342"/>
      <c r="BC626" s="342"/>
      <c r="BD626" s="342"/>
      <c r="BE626" s="1325"/>
    </row>
    <row r="627" spans="2:58" x14ac:dyDescent="0.25">
      <c r="B627" s="331"/>
      <c r="C627" s="410" t="s">
        <v>71</v>
      </c>
      <c r="D627" s="332"/>
      <c r="E627" s="332"/>
      <c r="F627" s="332"/>
      <c r="G627" s="342"/>
      <c r="H627" s="342"/>
      <c r="I627" s="342"/>
      <c r="J627" s="342"/>
      <c r="K627" s="342"/>
      <c r="L627" s="342"/>
      <c r="M627" s="342"/>
      <c r="N627" s="342"/>
      <c r="O627" s="342"/>
      <c r="P627" s="342"/>
      <c r="Q627" s="342"/>
      <c r="R627" s="342"/>
      <c r="S627" s="342"/>
      <c r="T627" s="342"/>
      <c r="U627" s="342"/>
      <c r="V627" s="342"/>
      <c r="W627" s="342"/>
      <c r="X627" s="342"/>
      <c r="Y627" s="342"/>
      <c r="Z627" s="342"/>
      <c r="AA627" s="342"/>
      <c r="AB627" s="342"/>
      <c r="AC627" s="342"/>
      <c r="AD627" s="342"/>
      <c r="AE627" s="342"/>
      <c r="AF627" s="342"/>
      <c r="AG627" s="342"/>
      <c r="AH627" s="342"/>
      <c r="AI627" s="342"/>
      <c r="AJ627" s="342"/>
      <c r="AK627" s="342"/>
      <c r="AL627" s="342"/>
      <c r="AM627" s="342"/>
      <c r="AN627" s="342"/>
      <c r="AO627" s="342"/>
      <c r="AP627" s="342"/>
      <c r="AQ627" s="342"/>
      <c r="AR627" s="342"/>
      <c r="AS627" s="342"/>
      <c r="AT627" s="342"/>
      <c r="AU627" s="342"/>
      <c r="AV627" s="342"/>
      <c r="AW627" s="342"/>
      <c r="AX627" s="342"/>
      <c r="AY627" s="342"/>
      <c r="AZ627" s="342"/>
      <c r="BA627" s="342"/>
      <c r="BB627" s="342"/>
      <c r="BC627" s="342"/>
      <c r="BD627" s="342"/>
      <c r="BE627" s="1325"/>
    </row>
    <row r="628" spans="2:58" x14ac:dyDescent="0.25">
      <c r="B628" s="331"/>
      <c r="C628" s="332" t="str">
        <f>'II. Inputs, Baseline Energy Mix'!$E$70</f>
        <v>Front-end Fee</v>
      </c>
      <c r="D628" s="332"/>
      <c r="E628" s="332"/>
      <c r="F628" s="332"/>
      <c r="G628" s="342"/>
      <c r="H628" s="342">
        <f>IF($G612&gt;0, G612*'II. Inputs, Baseline Energy Mix'!$R$70/10000,0)</f>
        <v>0</v>
      </c>
      <c r="I628" s="342">
        <v>0</v>
      </c>
      <c r="J628" s="342">
        <v>0</v>
      </c>
      <c r="K628" s="342">
        <v>0</v>
      </c>
      <c r="L628" s="342">
        <v>0</v>
      </c>
      <c r="M628" s="342">
        <v>0</v>
      </c>
      <c r="N628" s="342">
        <v>0</v>
      </c>
      <c r="O628" s="342">
        <v>0</v>
      </c>
      <c r="P628" s="342">
        <v>0</v>
      </c>
      <c r="Q628" s="342">
        <v>0</v>
      </c>
      <c r="R628" s="342">
        <v>0</v>
      </c>
      <c r="S628" s="342">
        <v>0</v>
      </c>
      <c r="T628" s="342">
        <v>0</v>
      </c>
      <c r="U628" s="342">
        <v>0</v>
      </c>
      <c r="V628" s="342">
        <v>0</v>
      </c>
      <c r="W628" s="342">
        <v>0</v>
      </c>
      <c r="X628" s="342">
        <v>0</v>
      </c>
      <c r="Y628" s="342">
        <v>0</v>
      </c>
      <c r="Z628" s="342">
        <v>0</v>
      </c>
      <c r="AA628" s="342">
        <v>0</v>
      </c>
      <c r="AB628" s="342">
        <v>0</v>
      </c>
      <c r="AC628" s="342">
        <v>0</v>
      </c>
      <c r="AD628" s="342">
        <v>0</v>
      </c>
      <c r="AE628" s="342">
        <v>0</v>
      </c>
      <c r="AF628" s="342">
        <v>0</v>
      </c>
      <c r="AG628" s="342">
        <v>0</v>
      </c>
      <c r="AH628" s="342">
        <v>0</v>
      </c>
      <c r="AI628" s="342">
        <v>0</v>
      </c>
      <c r="AJ628" s="342">
        <v>0</v>
      </c>
      <c r="AK628" s="342">
        <v>0</v>
      </c>
      <c r="AL628" s="342">
        <v>0</v>
      </c>
      <c r="AM628" s="342">
        <v>0</v>
      </c>
      <c r="AN628" s="342">
        <v>0</v>
      </c>
      <c r="AO628" s="342">
        <v>0</v>
      </c>
      <c r="AP628" s="342">
        <v>0</v>
      </c>
      <c r="AQ628" s="342">
        <v>0</v>
      </c>
      <c r="AR628" s="342">
        <v>0</v>
      </c>
      <c r="AS628" s="342">
        <v>0</v>
      </c>
      <c r="AT628" s="342">
        <v>0</v>
      </c>
      <c r="AU628" s="342">
        <v>0</v>
      </c>
      <c r="AV628" s="342">
        <v>0</v>
      </c>
      <c r="AW628" s="342">
        <v>0</v>
      </c>
      <c r="AX628" s="342">
        <v>0</v>
      </c>
      <c r="AY628" s="342">
        <v>0</v>
      </c>
      <c r="AZ628" s="342">
        <v>0</v>
      </c>
      <c r="BA628" s="342">
        <v>0</v>
      </c>
      <c r="BB628" s="342">
        <v>0</v>
      </c>
      <c r="BC628" s="342">
        <v>0</v>
      </c>
      <c r="BD628" s="342">
        <v>0</v>
      </c>
      <c r="BE628" s="1325">
        <v>0</v>
      </c>
    </row>
    <row r="629" spans="2:58" x14ac:dyDescent="0.25">
      <c r="B629" s="331"/>
      <c r="C629" s="332"/>
      <c r="D629" s="332"/>
      <c r="E629" s="332"/>
      <c r="F629" s="332"/>
      <c r="G629" s="332"/>
      <c r="H629" s="332"/>
      <c r="I629" s="332"/>
      <c r="J629" s="332"/>
      <c r="K629" s="332"/>
      <c r="L629" s="332"/>
      <c r="M629" s="332"/>
      <c r="N629" s="332"/>
      <c r="O629" s="332"/>
      <c r="P629" s="332"/>
      <c r="Q629" s="332"/>
      <c r="R629" s="332"/>
      <c r="S629" s="332"/>
      <c r="T629" s="332"/>
      <c r="U629" s="332"/>
      <c r="V629" s="332"/>
      <c r="W629" s="332"/>
      <c r="X629" s="332"/>
      <c r="Y629" s="332"/>
      <c r="Z629" s="332"/>
      <c r="AA629" s="332"/>
      <c r="AB629" s="332"/>
      <c r="AC629" s="332"/>
      <c r="AD629" s="332"/>
      <c r="AE629" s="332"/>
      <c r="AF629" s="332"/>
      <c r="AG629" s="332"/>
      <c r="AH629" s="332"/>
      <c r="AI629" s="332"/>
      <c r="AJ629" s="332"/>
      <c r="AK629" s="332"/>
      <c r="AL629" s="332"/>
      <c r="AM629" s="332"/>
      <c r="AN629" s="332"/>
      <c r="AO629" s="332"/>
      <c r="AP629" s="332"/>
      <c r="AQ629" s="332"/>
      <c r="AR629" s="332"/>
      <c r="AS629" s="332"/>
      <c r="AT629" s="332"/>
      <c r="AU629" s="332"/>
      <c r="AV629" s="332"/>
      <c r="AW629" s="332"/>
      <c r="AX629" s="332"/>
      <c r="AY629" s="332"/>
      <c r="AZ629" s="332"/>
      <c r="BA629" s="332"/>
      <c r="BB629" s="332"/>
      <c r="BC629" s="332"/>
      <c r="BD629" s="332"/>
      <c r="BE629" s="333"/>
    </row>
    <row r="630" spans="2:58" x14ac:dyDescent="0.25">
      <c r="B630" s="343" t="s">
        <v>179</v>
      </c>
      <c r="C630" s="332"/>
      <c r="D630" s="332"/>
      <c r="E630" s="332"/>
      <c r="F630" s="332"/>
      <c r="G630" s="332"/>
      <c r="H630" s="332"/>
      <c r="I630" s="332"/>
      <c r="J630" s="332"/>
      <c r="K630" s="332"/>
      <c r="L630" s="332"/>
      <c r="M630" s="332"/>
      <c r="N630" s="332"/>
      <c r="O630" s="332"/>
      <c r="P630" s="332"/>
      <c r="Q630" s="332"/>
      <c r="R630" s="332"/>
      <c r="S630" s="332"/>
      <c r="T630" s="332"/>
      <c r="U630" s="332"/>
      <c r="V630" s="332"/>
      <c r="W630" s="332"/>
      <c r="X630" s="332"/>
      <c r="Y630" s="332"/>
      <c r="Z630" s="332"/>
      <c r="AA630" s="332"/>
      <c r="AB630" s="332"/>
      <c r="AC630" s="332"/>
      <c r="AD630" s="332"/>
      <c r="AE630" s="332"/>
      <c r="AF630" s="332"/>
      <c r="AG630" s="332"/>
      <c r="AH630" s="332"/>
      <c r="AI630" s="332"/>
      <c r="AJ630" s="332"/>
      <c r="AK630" s="332"/>
      <c r="AL630" s="332"/>
      <c r="AM630" s="332"/>
      <c r="AN630" s="332"/>
      <c r="AO630" s="332"/>
      <c r="AP630" s="332"/>
      <c r="AQ630" s="332"/>
      <c r="AR630" s="332"/>
      <c r="AS630" s="332"/>
      <c r="AT630" s="332"/>
      <c r="AU630" s="332"/>
      <c r="AV630" s="332"/>
      <c r="AW630" s="332"/>
      <c r="AX630" s="332"/>
      <c r="AY630" s="332"/>
      <c r="AZ630" s="332"/>
      <c r="BA630" s="332"/>
      <c r="BB630" s="332"/>
      <c r="BC630" s="332"/>
      <c r="BD630" s="332"/>
      <c r="BE630" s="333"/>
    </row>
    <row r="631" spans="2:58" x14ac:dyDescent="0.25">
      <c r="B631" s="331"/>
      <c r="C631" s="407" t="s">
        <v>68</v>
      </c>
      <c r="D631" s="335" t="s">
        <v>22</v>
      </c>
      <c r="E631" s="332"/>
      <c r="F631" s="332"/>
      <c r="G631" s="342">
        <f>IF('II. Inputs, Baseline Energy Mix'!$R$15&gt;0,('II. Inputs, Baseline Energy Mix'!$R$16*'II. Inputs, Baseline Energy Mix'!$R$17*'II. Inputs, Baseline Energy Mix'!$R$30*'II. Inputs, Baseline Energy Mix'!$R$33),0)</f>
        <v>0</v>
      </c>
      <c r="H631" s="332"/>
      <c r="I631" s="332"/>
      <c r="J631" s="332"/>
      <c r="K631" s="332"/>
      <c r="L631" s="332"/>
      <c r="M631" s="332"/>
      <c r="N631" s="332"/>
      <c r="O631" s="332"/>
      <c r="P631" s="332"/>
      <c r="Q631" s="332"/>
      <c r="R631" s="332"/>
      <c r="S631" s="332"/>
      <c r="T631" s="332"/>
      <c r="U631" s="332"/>
      <c r="V631" s="332"/>
      <c r="W631" s="332"/>
      <c r="X631" s="332"/>
      <c r="Y631" s="332"/>
      <c r="Z631" s="332"/>
      <c r="AA631" s="332"/>
      <c r="AB631" s="332"/>
      <c r="AC631" s="332"/>
      <c r="AD631" s="332"/>
      <c r="AE631" s="332"/>
      <c r="AF631" s="332"/>
      <c r="AG631" s="332"/>
      <c r="AH631" s="332"/>
      <c r="AI631" s="332"/>
      <c r="AJ631" s="332"/>
      <c r="AK631" s="332"/>
      <c r="AL631" s="332"/>
      <c r="AM631" s="332"/>
      <c r="AN631" s="332"/>
      <c r="AO631" s="332"/>
      <c r="AP631" s="332"/>
      <c r="AQ631" s="332"/>
      <c r="AR631" s="332"/>
      <c r="AS631" s="332"/>
      <c r="AT631" s="332"/>
      <c r="AU631" s="332"/>
      <c r="AV631" s="332"/>
      <c r="AW631" s="332"/>
      <c r="AX631" s="332"/>
      <c r="AY631" s="332"/>
      <c r="AZ631" s="332"/>
      <c r="BA631" s="332"/>
      <c r="BB631" s="332"/>
      <c r="BC631" s="332"/>
      <c r="BD631" s="332"/>
      <c r="BE631" s="333"/>
    </row>
    <row r="632" spans="2:58" x14ac:dyDescent="0.25">
      <c r="B632" s="331"/>
      <c r="C632" s="407" t="s">
        <v>69</v>
      </c>
      <c r="D632" s="335" t="s">
        <v>20</v>
      </c>
      <c r="E632" s="332"/>
      <c r="F632" s="332"/>
      <c r="G632" s="334">
        <f>SUM('II. Inputs, Baseline Energy Mix'!$R$73)</f>
        <v>0</v>
      </c>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c r="AE632" s="332"/>
      <c r="AF632" s="332"/>
      <c r="AG632" s="332"/>
      <c r="AH632" s="332"/>
      <c r="AI632" s="332"/>
      <c r="AJ632" s="332"/>
      <c r="AK632" s="332"/>
      <c r="AL632" s="332"/>
      <c r="AM632" s="332"/>
      <c r="AN632" s="332"/>
      <c r="AO632" s="332"/>
      <c r="AP632" s="332"/>
      <c r="AQ632" s="332"/>
      <c r="AR632" s="332"/>
      <c r="AS632" s="332"/>
      <c r="AT632" s="332"/>
      <c r="AU632" s="332"/>
      <c r="AV632" s="332"/>
      <c r="AW632" s="332"/>
      <c r="AX632" s="332"/>
      <c r="AY632" s="332"/>
      <c r="AZ632" s="332"/>
      <c r="BA632" s="332"/>
      <c r="BB632" s="332"/>
      <c r="BC632" s="332"/>
      <c r="BD632" s="332"/>
      <c r="BE632" s="333"/>
    </row>
    <row r="633" spans="2:58" x14ac:dyDescent="0.25">
      <c r="B633" s="331"/>
      <c r="C633" s="407" t="s">
        <v>70</v>
      </c>
      <c r="D633" s="335" t="s">
        <v>16</v>
      </c>
      <c r="E633" s="332"/>
      <c r="F633" s="332"/>
      <c r="G633" s="408">
        <f>SUM('II. Inputs, Baseline Energy Mix'!$R$72)</f>
        <v>0</v>
      </c>
      <c r="H633" s="332"/>
      <c r="I633" s="332"/>
      <c r="J633" s="332"/>
      <c r="K633" s="332"/>
      <c r="L633" s="332"/>
      <c r="M633" s="332"/>
      <c r="N633" s="332"/>
      <c r="O633" s="332"/>
      <c r="P633" s="332"/>
      <c r="Q633" s="332"/>
      <c r="R633" s="332"/>
      <c r="S633" s="332"/>
      <c r="T633" s="332"/>
      <c r="U633" s="332"/>
      <c r="V633" s="332"/>
      <c r="W633" s="332"/>
      <c r="X633" s="332"/>
      <c r="Y633" s="332"/>
      <c r="Z633" s="332"/>
      <c r="AA633" s="332"/>
      <c r="AB633" s="332"/>
      <c r="AC633" s="332"/>
      <c r="AD633" s="332"/>
      <c r="AE633" s="332"/>
      <c r="AF633" s="332"/>
      <c r="AG633" s="332"/>
      <c r="AH633" s="332"/>
      <c r="AI633" s="332"/>
      <c r="AJ633" s="332"/>
      <c r="AK633" s="332"/>
      <c r="AL633" s="332"/>
      <c r="AM633" s="332"/>
      <c r="AN633" s="332"/>
      <c r="AO633" s="332"/>
      <c r="AP633" s="332"/>
      <c r="AQ633" s="332"/>
      <c r="AR633" s="332"/>
      <c r="AS633" s="332"/>
      <c r="AT633" s="332"/>
      <c r="AU633" s="332"/>
      <c r="AV633" s="332"/>
      <c r="AW633" s="332"/>
      <c r="AX633" s="332"/>
      <c r="AY633" s="332"/>
      <c r="AZ633" s="332"/>
      <c r="BA633" s="332"/>
      <c r="BB633" s="332"/>
      <c r="BC633" s="332"/>
      <c r="BD633" s="332"/>
      <c r="BE633" s="333"/>
    </row>
    <row r="634" spans="2:58" x14ac:dyDescent="0.25">
      <c r="B634" s="331"/>
      <c r="C634" s="407" t="str">
        <f>'II. Inputs, Baseline Energy Mix'!$E$75</f>
        <v>Guarantee Coverage, as a % of Commercial Loan Value</v>
      </c>
      <c r="D634" s="335" t="s">
        <v>16</v>
      </c>
      <c r="E634" s="332"/>
      <c r="F634" s="332"/>
      <c r="G634" s="411">
        <f>SUM('II. Inputs, Baseline Energy Mix'!$R$75)</f>
        <v>0</v>
      </c>
      <c r="H634" s="332"/>
      <c r="I634" s="332"/>
      <c r="J634" s="332"/>
      <c r="K634" s="332"/>
      <c r="L634" s="332"/>
      <c r="M634" s="332"/>
      <c r="N634" s="332"/>
      <c r="O634" s="332"/>
      <c r="P634" s="332"/>
      <c r="Q634" s="332"/>
      <c r="R634" s="332"/>
      <c r="S634" s="332"/>
      <c r="T634" s="332"/>
      <c r="U634" s="332"/>
      <c r="V634" s="332"/>
      <c r="W634" s="332"/>
      <c r="X634" s="332"/>
      <c r="Y634" s="332"/>
      <c r="Z634" s="332"/>
      <c r="AA634" s="332"/>
      <c r="AB634" s="332"/>
      <c r="AC634" s="332"/>
      <c r="AD634" s="332"/>
      <c r="AE634" s="332"/>
      <c r="AF634" s="332"/>
      <c r="AG634" s="332"/>
      <c r="AH634" s="332"/>
      <c r="AI634" s="332"/>
      <c r="AJ634" s="332"/>
      <c r="AK634" s="332"/>
      <c r="AL634" s="332"/>
      <c r="AM634" s="332"/>
      <c r="AN634" s="332"/>
      <c r="AO634" s="332"/>
      <c r="AP634" s="332"/>
      <c r="AQ634" s="332"/>
      <c r="AR634" s="332"/>
      <c r="AS634" s="332"/>
      <c r="AT634" s="332"/>
      <c r="AU634" s="332"/>
      <c r="AV634" s="332"/>
      <c r="AW634" s="332"/>
      <c r="AX634" s="332"/>
      <c r="AY634" s="332"/>
      <c r="AZ634" s="332"/>
      <c r="BA634" s="332"/>
      <c r="BB634" s="332"/>
      <c r="BC634" s="332"/>
      <c r="BD634" s="332"/>
      <c r="BE634" s="333"/>
    </row>
    <row r="635" spans="2:58" x14ac:dyDescent="0.25">
      <c r="B635" s="331"/>
      <c r="C635" s="407" t="str">
        <f>'II. Inputs, Baseline Energy Mix'!$E$76</f>
        <v xml:space="preserve">Term of Public Guarantee Coverage </v>
      </c>
      <c r="D635" s="335" t="s">
        <v>20</v>
      </c>
      <c r="E635" s="332"/>
      <c r="F635" s="332"/>
      <c r="G635" s="334">
        <f>'II. Inputs, Baseline Energy Mix'!$R$76</f>
        <v>0</v>
      </c>
      <c r="H635" s="332"/>
      <c r="I635" s="332"/>
      <c r="J635" s="332"/>
      <c r="K635" s="332"/>
      <c r="L635" s="332"/>
      <c r="M635" s="332"/>
      <c r="N635" s="332"/>
      <c r="O635" s="332"/>
      <c r="P635" s="332"/>
      <c r="Q635" s="332"/>
      <c r="R635" s="332"/>
      <c r="S635" s="332"/>
      <c r="T635" s="332"/>
      <c r="U635" s="332"/>
      <c r="V635" s="332"/>
      <c r="W635" s="332"/>
      <c r="X635" s="332"/>
      <c r="Y635" s="332"/>
      <c r="Z635" s="332"/>
      <c r="AA635" s="332"/>
      <c r="AB635" s="332"/>
      <c r="AC635" s="332"/>
      <c r="AD635" s="332"/>
      <c r="AE635" s="332"/>
      <c r="AF635" s="332"/>
      <c r="AG635" s="332"/>
      <c r="AH635" s="332"/>
      <c r="AI635" s="332"/>
      <c r="AJ635" s="332"/>
      <c r="AK635" s="332"/>
      <c r="AL635" s="332"/>
      <c r="AM635" s="332"/>
      <c r="AN635" s="332"/>
      <c r="AO635" s="332"/>
      <c r="AP635" s="332"/>
      <c r="AQ635" s="332"/>
      <c r="AR635" s="332"/>
      <c r="AS635" s="332"/>
      <c r="AT635" s="332"/>
      <c r="AU635" s="332"/>
      <c r="AV635" s="332"/>
      <c r="AW635" s="332"/>
      <c r="AX635" s="332"/>
      <c r="AY635" s="332"/>
      <c r="AZ635" s="332"/>
      <c r="BA635" s="332"/>
      <c r="BB635" s="332"/>
      <c r="BC635" s="332"/>
      <c r="BD635" s="332"/>
      <c r="BE635" s="333"/>
    </row>
    <row r="636" spans="2:58" x14ac:dyDescent="0.25">
      <c r="B636" s="331"/>
      <c r="C636" s="332"/>
      <c r="D636" s="332"/>
      <c r="E636" s="332"/>
      <c r="F636" s="332"/>
      <c r="G636" s="332"/>
      <c r="H636" s="332"/>
      <c r="I636" s="332"/>
      <c r="J636" s="332"/>
      <c r="K636" s="332"/>
      <c r="L636" s="332"/>
      <c r="M636" s="332"/>
      <c r="N636" s="332"/>
      <c r="O636" s="332"/>
      <c r="P636" s="332"/>
      <c r="Q636" s="332"/>
      <c r="R636" s="332"/>
      <c r="S636" s="332"/>
      <c r="T636" s="332"/>
      <c r="U636" s="332"/>
      <c r="V636" s="332"/>
      <c r="W636" s="332"/>
      <c r="X636" s="332"/>
      <c r="Y636" s="332"/>
      <c r="Z636" s="332"/>
      <c r="AA636" s="332"/>
      <c r="AB636" s="332"/>
      <c r="AC636" s="332"/>
      <c r="AD636" s="332"/>
      <c r="AE636" s="332"/>
      <c r="AF636" s="332"/>
      <c r="AG636" s="332"/>
      <c r="AH636" s="332"/>
      <c r="AI636" s="332"/>
      <c r="AJ636" s="332"/>
      <c r="AK636" s="332"/>
      <c r="AL636" s="332"/>
      <c r="AM636" s="332"/>
      <c r="AN636" s="332"/>
      <c r="AO636" s="332"/>
      <c r="AP636" s="332"/>
      <c r="AQ636" s="332"/>
      <c r="AR636" s="332"/>
      <c r="AS636" s="332"/>
      <c r="AT636" s="332"/>
      <c r="AU636" s="332"/>
      <c r="AV636" s="332"/>
      <c r="AW636" s="332"/>
      <c r="AX636" s="332"/>
      <c r="AY636" s="332"/>
      <c r="AZ636" s="332"/>
      <c r="BA636" s="332"/>
      <c r="BB636" s="332"/>
      <c r="BC636" s="332"/>
      <c r="BD636" s="332"/>
      <c r="BE636" s="333"/>
    </row>
    <row r="637" spans="2:58" x14ac:dyDescent="0.25">
      <c r="B637" s="331"/>
      <c r="C637" s="409" t="s">
        <v>67</v>
      </c>
      <c r="D637" s="332"/>
      <c r="E637" s="332"/>
      <c r="F637" s="332"/>
      <c r="G637" s="342"/>
      <c r="H637" s="342"/>
      <c r="I637" s="342"/>
      <c r="J637" s="342"/>
      <c r="K637" s="342"/>
      <c r="L637" s="342"/>
      <c r="M637" s="342"/>
      <c r="N637" s="342"/>
      <c r="O637" s="342"/>
      <c r="P637" s="342"/>
      <c r="Q637" s="342"/>
      <c r="R637" s="342"/>
      <c r="S637" s="342"/>
      <c r="T637" s="342"/>
      <c r="U637" s="342"/>
      <c r="V637" s="342"/>
      <c r="W637" s="342"/>
      <c r="X637" s="342"/>
      <c r="Y637" s="342"/>
      <c r="Z637" s="342"/>
      <c r="AA637" s="342"/>
      <c r="AB637" s="342"/>
      <c r="AC637" s="342"/>
      <c r="AD637" s="342"/>
      <c r="AE637" s="342"/>
      <c r="AF637" s="342"/>
      <c r="AG637" s="342"/>
      <c r="AH637" s="342"/>
      <c r="AI637" s="342"/>
      <c r="AJ637" s="342"/>
      <c r="AK637" s="342"/>
      <c r="AL637" s="342"/>
      <c r="AM637" s="342"/>
      <c r="AN637" s="342"/>
      <c r="AO637" s="342"/>
      <c r="AP637" s="342"/>
      <c r="AQ637" s="342"/>
      <c r="AR637" s="342"/>
      <c r="AS637" s="342"/>
      <c r="AT637" s="342"/>
      <c r="AU637" s="342"/>
      <c r="AV637" s="342"/>
      <c r="AW637" s="342"/>
      <c r="AX637" s="342"/>
      <c r="AY637" s="342"/>
      <c r="AZ637" s="342"/>
      <c r="BA637" s="342"/>
      <c r="BB637" s="342"/>
      <c r="BC637" s="342"/>
      <c r="BD637" s="342"/>
      <c r="BE637" s="1325"/>
      <c r="BF637" s="249"/>
    </row>
    <row r="638" spans="2:58" x14ac:dyDescent="0.25">
      <c r="B638" s="331"/>
      <c r="C638" s="332" t="s">
        <v>73</v>
      </c>
      <c r="D638" s="332"/>
      <c r="E638" s="332"/>
      <c r="F638" s="332"/>
      <c r="G638" s="342"/>
      <c r="H638" s="342">
        <f>IF(H$299&gt;$G632,0,IPMT($G633,H$299,$G632,-$G631))</f>
        <v>0</v>
      </c>
      <c r="I638" s="342">
        <f t="shared" ref="I638:BE638" si="210">IF(I$299&gt;$G632,0,IPMT($G633,I$299,$G632,-$G631))</f>
        <v>0</v>
      </c>
      <c r="J638" s="342">
        <f t="shared" si="210"/>
        <v>0</v>
      </c>
      <c r="K638" s="342">
        <f t="shared" si="210"/>
        <v>0</v>
      </c>
      <c r="L638" s="342">
        <f t="shared" si="210"/>
        <v>0</v>
      </c>
      <c r="M638" s="342">
        <f t="shared" si="210"/>
        <v>0</v>
      </c>
      <c r="N638" s="342">
        <f t="shared" si="210"/>
        <v>0</v>
      </c>
      <c r="O638" s="342">
        <f t="shared" si="210"/>
        <v>0</v>
      </c>
      <c r="P638" s="342">
        <f t="shared" si="210"/>
        <v>0</v>
      </c>
      <c r="Q638" s="342">
        <f t="shared" si="210"/>
        <v>0</v>
      </c>
      <c r="R638" s="342">
        <f t="shared" si="210"/>
        <v>0</v>
      </c>
      <c r="S638" s="342">
        <f t="shared" si="210"/>
        <v>0</v>
      </c>
      <c r="T638" s="342">
        <f t="shared" si="210"/>
        <v>0</v>
      </c>
      <c r="U638" s="342">
        <f t="shared" si="210"/>
        <v>0</v>
      </c>
      <c r="V638" s="342">
        <f t="shared" si="210"/>
        <v>0</v>
      </c>
      <c r="W638" s="342">
        <f t="shared" si="210"/>
        <v>0</v>
      </c>
      <c r="X638" s="342">
        <f t="shared" si="210"/>
        <v>0</v>
      </c>
      <c r="Y638" s="342">
        <f t="shared" si="210"/>
        <v>0</v>
      </c>
      <c r="Z638" s="342">
        <f t="shared" si="210"/>
        <v>0</v>
      </c>
      <c r="AA638" s="342">
        <f t="shared" si="210"/>
        <v>0</v>
      </c>
      <c r="AB638" s="342">
        <f t="shared" si="210"/>
        <v>0</v>
      </c>
      <c r="AC638" s="342">
        <f t="shared" si="210"/>
        <v>0</v>
      </c>
      <c r="AD638" s="342">
        <f t="shared" si="210"/>
        <v>0</v>
      </c>
      <c r="AE638" s="342">
        <f t="shared" si="210"/>
        <v>0</v>
      </c>
      <c r="AF638" s="342">
        <f t="shared" si="210"/>
        <v>0</v>
      </c>
      <c r="AG638" s="342">
        <f t="shared" si="210"/>
        <v>0</v>
      </c>
      <c r="AH638" s="342">
        <f t="shared" si="210"/>
        <v>0</v>
      </c>
      <c r="AI638" s="342">
        <f t="shared" si="210"/>
        <v>0</v>
      </c>
      <c r="AJ638" s="342">
        <f t="shared" si="210"/>
        <v>0</v>
      </c>
      <c r="AK638" s="342">
        <f t="shared" si="210"/>
        <v>0</v>
      </c>
      <c r="AL638" s="342">
        <f t="shared" si="210"/>
        <v>0</v>
      </c>
      <c r="AM638" s="342">
        <f t="shared" si="210"/>
        <v>0</v>
      </c>
      <c r="AN638" s="342">
        <f t="shared" si="210"/>
        <v>0</v>
      </c>
      <c r="AO638" s="342">
        <f t="shared" si="210"/>
        <v>0</v>
      </c>
      <c r="AP638" s="342">
        <f t="shared" si="210"/>
        <v>0</v>
      </c>
      <c r="AQ638" s="342">
        <f t="shared" si="210"/>
        <v>0</v>
      </c>
      <c r="AR638" s="342">
        <f t="shared" si="210"/>
        <v>0</v>
      </c>
      <c r="AS638" s="342">
        <f t="shared" si="210"/>
        <v>0</v>
      </c>
      <c r="AT638" s="342">
        <f t="shared" si="210"/>
        <v>0</v>
      </c>
      <c r="AU638" s="342">
        <f t="shared" si="210"/>
        <v>0</v>
      </c>
      <c r="AV638" s="342">
        <f t="shared" si="210"/>
        <v>0</v>
      </c>
      <c r="AW638" s="342">
        <f t="shared" si="210"/>
        <v>0</v>
      </c>
      <c r="AX638" s="342">
        <f t="shared" si="210"/>
        <v>0</v>
      </c>
      <c r="AY638" s="342">
        <f t="shared" si="210"/>
        <v>0</v>
      </c>
      <c r="AZ638" s="342">
        <f t="shared" si="210"/>
        <v>0</v>
      </c>
      <c r="BA638" s="342">
        <f t="shared" si="210"/>
        <v>0</v>
      </c>
      <c r="BB638" s="342">
        <f t="shared" si="210"/>
        <v>0</v>
      </c>
      <c r="BC638" s="342">
        <f t="shared" si="210"/>
        <v>0</v>
      </c>
      <c r="BD638" s="342">
        <f t="shared" si="210"/>
        <v>0</v>
      </c>
      <c r="BE638" s="1325">
        <f t="shared" si="210"/>
        <v>0</v>
      </c>
      <c r="BF638" s="249"/>
    </row>
    <row r="639" spans="2:58" x14ac:dyDescent="0.25">
      <c r="B639" s="331"/>
      <c r="C639" s="339" t="s">
        <v>72</v>
      </c>
      <c r="D639" s="339"/>
      <c r="E639" s="339"/>
      <c r="F639" s="339"/>
      <c r="G639" s="1326"/>
      <c r="H639" s="1326">
        <f>IF(H$299&gt;$G632,0,PPMT($G633,H$299,$G632,-$G631))</f>
        <v>0</v>
      </c>
      <c r="I639" s="1326">
        <f t="shared" ref="I639:BE639" si="211">IF(I$299&gt;$G632,0,PPMT($G633,I$299,$G632,-$G631))</f>
        <v>0</v>
      </c>
      <c r="J639" s="1326">
        <f t="shared" si="211"/>
        <v>0</v>
      </c>
      <c r="K639" s="1326">
        <f t="shared" si="211"/>
        <v>0</v>
      </c>
      <c r="L639" s="1326">
        <f t="shared" si="211"/>
        <v>0</v>
      </c>
      <c r="M639" s="1326">
        <f t="shared" si="211"/>
        <v>0</v>
      </c>
      <c r="N639" s="1326">
        <f t="shared" si="211"/>
        <v>0</v>
      </c>
      <c r="O639" s="1326">
        <f t="shared" si="211"/>
        <v>0</v>
      </c>
      <c r="P639" s="1326">
        <f t="shared" si="211"/>
        <v>0</v>
      </c>
      <c r="Q639" s="1326">
        <f t="shared" si="211"/>
        <v>0</v>
      </c>
      <c r="R639" s="1326">
        <f t="shared" si="211"/>
        <v>0</v>
      </c>
      <c r="S639" s="1326">
        <f t="shared" si="211"/>
        <v>0</v>
      </c>
      <c r="T639" s="1326">
        <f t="shared" si="211"/>
        <v>0</v>
      </c>
      <c r="U639" s="1326">
        <f t="shared" si="211"/>
        <v>0</v>
      </c>
      <c r="V639" s="1326">
        <f t="shared" si="211"/>
        <v>0</v>
      </c>
      <c r="W639" s="1326">
        <f t="shared" si="211"/>
        <v>0</v>
      </c>
      <c r="X639" s="1326">
        <f t="shared" si="211"/>
        <v>0</v>
      </c>
      <c r="Y639" s="1326">
        <f t="shared" si="211"/>
        <v>0</v>
      </c>
      <c r="Z639" s="1326">
        <f t="shared" si="211"/>
        <v>0</v>
      </c>
      <c r="AA639" s="1326">
        <f t="shared" si="211"/>
        <v>0</v>
      </c>
      <c r="AB639" s="1326">
        <f t="shared" si="211"/>
        <v>0</v>
      </c>
      <c r="AC639" s="1326">
        <f t="shared" si="211"/>
        <v>0</v>
      </c>
      <c r="AD639" s="1326">
        <f t="shared" si="211"/>
        <v>0</v>
      </c>
      <c r="AE639" s="1326">
        <f t="shared" si="211"/>
        <v>0</v>
      </c>
      <c r="AF639" s="1326">
        <f t="shared" si="211"/>
        <v>0</v>
      </c>
      <c r="AG639" s="1326">
        <f t="shared" si="211"/>
        <v>0</v>
      </c>
      <c r="AH639" s="1326">
        <f t="shared" si="211"/>
        <v>0</v>
      </c>
      <c r="AI639" s="1326">
        <f t="shared" si="211"/>
        <v>0</v>
      </c>
      <c r="AJ639" s="1326">
        <f t="shared" si="211"/>
        <v>0</v>
      </c>
      <c r="AK639" s="1326">
        <f t="shared" si="211"/>
        <v>0</v>
      </c>
      <c r="AL639" s="1326">
        <f t="shared" si="211"/>
        <v>0</v>
      </c>
      <c r="AM639" s="1326">
        <f t="shared" si="211"/>
        <v>0</v>
      </c>
      <c r="AN639" s="1326">
        <f t="shared" si="211"/>
        <v>0</v>
      </c>
      <c r="AO639" s="1326">
        <f t="shared" si="211"/>
        <v>0</v>
      </c>
      <c r="AP639" s="1326">
        <f t="shared" si="211"/>
        <v>0</v>
      </c>
      <c r="AQ639" s="1326">
        <f t="shared" si="211"/>
        <v>0</v>
      </c>
      <c r="AR639" s="1326">
        <f t="shared" si="211"/>
        <v>0</v>
      </c>
      <c r="AS639" s="1326">
        <f t="shared" si="211"/>
        <v>0</v>
      </c>
      <c r="AT639" s="1326">
        <f t="shared" si="211"/>
        <v>0</v>
      </c>
      <c r="AU639" s="1326">
        <f t="shared" si="211"/>
        <v>0</v>
      </c>
      <c r="AV639" s="1326">
        <f t="shared" si="211"/>
        <v>0</v>
      </c>
      <c r="AW639" s="1326">
        <f t="shared" si="211"/>
        <v>0</v>
      </c>
      <c r="AX639" s="1326">
        <f t="shared" si="211"/>
        <v>0</v>
      </c>
      <c r="AY639" s="1326">
        <f t="shared" si="211"/>
        <v>0</v>
      </c>
      <c r="AZ639" s="1326">
        <f t="shared" si="211"/>
        <v>0</v>
      </c>
      <c r="BA639" s="1326">
        <f t="shared" si="211"/>
        <v>0</v>
      </c>
      <c r="BB639" s="1326">
        <f t="shared" si="211"/>
        <v>0</v>
      </c>
      <c r="BC639" s="1326">
        <f t="shared" si="211"/>
        <v>0</v>
      </c>
      <c r="BD639" s="1326">
        <f t="shared" si="211"/>
        <v>0</v>
      </c>
      <c r="BE639" s="1327">
        <f t="shared" si="211"/>
        <v>0</v>
      </c>
      <c r="BF639" s="249"/>
    </row>
    <row r="640" spans="2:58" x14ac:dyDescent="0.25">
      <c r="B640" s="331"/>
      <c r="C640" s="332" t="s">
        <v>74</v>
      </c>
      <c r="D640" s="332"/>
      <c r="E640" s="332"/>
      <c r="F640" s="332"/>
      <c r="G640" s="342"/>
      <c r="H640" s="342">
        <f>SUM(H638:H639)</f>
        <v>0</v>
      </c>
      <c r="I640" s="342">
        <f t="shared" ref="I640:BE640" si="212">SUM(I638:I639)</f>
        <v>0</v>
      </c>
      <c r="J640" s="342">
        <f t="shared" si="212"/>
        <v>0</v>
      </c>
      <c r="K640" s="342">
        <f t="shared" si="212"/>
        <v>0</v>
      </c>
      <c r="L640" s="342">
        <f t="shared" si="212"/>
        <v>0</v>
      </c>
      <c r="M640" s="342">
        <f t="shared" si="212"/>
        <v>0</v>
      </c>
      <c r="N640" s="342">
        <f t="shared" si="212"/>
        <v>0</v>
      </c>
      <c r="O640" s="342">
        <f t="shared" si="212"/>
        <v>0</v>
      </c>
      <c r="P640" s="342">
        <f t="shared" si="212"/>
        <v>0</v>
      </c>
      <c r="Q640" s="342">
        <f t="shared" si="212"/>
        <v>0</v>
      </c>
      <c r="R640" s="342">
        <f t="shared" si="212"/>
        <v>0</v>
      </c>
      <c r="S640" s="342">
        <f t="shared" si="212"/>
        <v>0</v>
      </c>
      <c r="T640" s="342">
        <f t="shared" si="212"/>
        <v>0</v>
      </c>
      <c r="U640" s="342">
        <f t="shared" si="212"/>
        <v>0</v>
      </c>
      <c r="V640" s="342">
        <f t="shared" si="212"/>
        <v>0</v>
      </c>
      <c r="W640" s="342">
        <f t="shared" si="212"/>
        <v>0</v>
      </c>
      <c r="X640" s="342">
        <f t="shared" si="212"/>
        <v>0</v>
      </c>
      <c r="Y640" s="342">
        <f t="shared" si="212"/>
        <v>0</v>
      </c>
      <c r="Z640" s="342">
        <f t="shared" si="212"/>
        <v>0</v>
      </c>
      <c r="AA640" s="342">
        <f t="shared" si="212"/>
        <v>0</v>
      </c>
      <c r="AB640" s="342">
        <f t="shared" si="212"/>
        <v>0</v>
      </c>
      <c r="AC640" s="342">
        <f t="shared" si="212"/>
        <v>0</v>
      </c>
      <c r="AD640" s="342">
        <f t="shared" si="212"/>
        <v>0</v>
      </c>
      <c r="AE640" s="342">
        <f t="shared" si="212"/>
        <v>0</v>
      </c>
      <c r="AF640" s="342">
        <f t="shared" si="212"/>
        <v>0</v>
      </c>
      <c r="AG640" s="342">
        <f t="shared" si="212"/>
        <v>0</v>
      </c>
      <c r="AH640" s="342">
        <f t="shared" si="212"/>
        <v>0</v>
      </c>
      <c r="AI640" s="342">
        <f t="shared" si="212"/>
        <v>0</v>
      </c>
      <c r="AJ640" s="342">
        <f t="shared" si="212"/>
        <v>0</v>
      </c>
      <c r="AK640" s="342">
        <f t="shared" si="212"/>
        <v>0</v>
      </c>
      <c r="AL640" s="342">
        <f t="shared" si="212"/>
        <v>0</v>
      </c>
      <c r="AM640" s="342">
        <f t="shared" si="212"/>
        <v>0</v>
      </c>
      <c r="AN640" s="342">
        <f t="shared" si="212"/>
        <v>0</v>
      </c>
      <c r="AO640" s="342">
        <f t="shared" si="212"/>
        <v>0</v>
      </c>
      <c r="AP640" s="342">
        <f t="shared" si="212"/>
        <v>0</v>
      </c>
      <c r="AQ640" s="342">
        <f t="shared" si="212"/>
        <v>0</v>
      </c>
      <c r="AR640" s="342">
        <f t="shared" si="212"/>
        <v>0</v>
      </c>
      <c r="AS640" s="342">
        <f t="shared" si="212"/>
        <v>0</v>
      </c>
      <c r="AT640" s="342">
        <f t="shared" si="212"/>
        <v>0</v>
      </c>
      <c r="AU640" s="342">
        <f t="shared" si="212"/>
        <v>0</v>
      </c>
      <c r="AV640" s="342">
        <f t="shared" si="212"/>
        <v>0</v>
      </c>
      <c r="AW640" s="342">
        <f t="shared" si="212"/>
        <v>0</v>
      </c>
      <c r="AX640" s="342">
        <f t="shared" si="212"/>
        <v>0</v>
      </c>
      <c r="AY640" s="342">
        <f t="shared" si="212"/>
        <v>0</v>
      </c>
      <c r="AZ640" s="342">
        <f t="shared" si="212"/>
        <v>0</v>
      </c>
      <c r="BA640" s="342">
        <f t="shared" si="212"/>
        <v>0</v>
      </c>
      <c r="BB640" s="342">
        <f t="shared" si="212"/>
        <v>0</v>
      </c>
      <c r="BC640" s="342">
        <f t="shared" si="212"/>
        <v>0</v>
      </c>
      <c r="BD640" s="342">
        <f t="shared" si="212"/>
        <v>0</v>
      </c>
      <c r="BE640" s="1325">
        <f t="shared" si="212"/>
        <v>0</v>
      </c>
      <c r="BF640" s="249"/>
    </row>
    <row r="641" spans="2:58" x14ac:dyDescent="0.25">
      <c r="B641" s="331"/>
      <c r="C641" s="332"/>
      <c r="D641" s="332"/>
      <c r="E641" s="332"/>
      <c r="F641" s="332"/>
      <c r="G641" s="342"/>
      <c r="H641" s="342"/>
      <c r="I641" s="342"/>
      <c r="J641" s="342"/>
      <c r="K641" s="342"/>
      <c r="L641" s="342"/>
      <c r="M641" s="342"/>
      <c r="N641" s="342"/>
      <c r="O641" s="342"/>
      <c r="P641" s="342"/>
      <c r="Q641" s="342"/>
      <c r="R641" s="342"/>
      <c r="S641" s="342"/>
      <c r="T641" s="342"/>
      <c r="U641" s="342"/>
      <c r="V641" s="342"/>
      <c r="W641" s="342"/>
      <c r="X641" s="342"/>
      <c r="Y641" s="342"/>
      <c r="Z641" s="342"/>
      <c r="AA641" s="342"/>
      <c r="AB641" s="342"/>
      <c r="AC641" s="342"/>
      <c r="AD641" s="342"/>
      <c r="AE641" s="342"/>
      <c r="AF641" s="342"/>
      <c r="AG641" s="342"/>
      <c r="AH641" s="342"/>
      <c r="AI641" s="342"/>
      <c r="AJ641" s="342"/>
      <c r="AK641" s="342"/>
      <c r="AL641" s="342"/>
      <c r="AM641" s="342"/>
      <c r="AN641" s="342"/>
      <c r="AO641" s="342"/>
      <c r="AP641" s="342"/>
      <c r="AQ641" s="342"/>
      <c r="AR641" s="342"/>
      <c r="AS641" s="342"/>
      <c r="AT641" s="342"/>
      <c r="AU641" s="342"/>
      <c r="AV641" s="342"/>
      <c r="AW641" s="342"/>
      <c r="AX641" s="342"/>
      <c r="AY641" s="342"/>
      <c r="AZ641" s="342"/>
      <c r="BA641" s="342"/>
      <c r="BB641" s="342"/>
      <c r="BC641" s="342"/>
      <c r="BD641" s="342"/>
      <c r="BE641" s="1325"/>
      <c r="BF641" s="249"/>
    </row>
    <row r="642" spans="2:58" x14ac:dyDescent="0.25">
      <c r="B642" s="331"/>
      <c r="C642" s="410" t="s">
        <v>65</v>
      </c>
      <c r="D642" s="332"/>
      <c r="E642" s="332"/>
      <c r="F642" s="332"/>
      <c r="G642" s="342"/>
      <c r="H642" s="342"/>
      <c r="I642" s="342"/>
      <c r="J642" s="342"/>
      <c r="K642" s="342"/>
      <c r="L642" s="342"/>
      <c r="M642" s="342"/>
      <c r="N642" s="342"/>
      <c r="O642" s="342"/>
      <c r="P642" s="342"/>
      <c r="Q642" s="342"/>
      <c r="R642" s="342"/>
      <c r="S642" s="342"/>
      <c r="T642" s="342"/>
      <c r="U642" s="342"/>
      <c r="V642" s="342"/>
      <c r="W642" s="342"/>
      <c r="X642" s="342"/>
      <c r="Y642" s="342"/>
      <c r="Z642" s="342"/>
      <c r="AA642" s="342"/>
      <c r="AB642" s="342"/>
      <c r="AC642" s="342"/>
      <c r="AD642" s="342"/>
      <c r="AE642" s="342"/>
      <c r="AF642" s="342"/>
      <c r="AG642" s="342"/>
      <c r="AH642" s="342"/>
      <c r="AI642" s="342"/>
      <c r="AJ642" s="342"/>
      <c r="AK642" s="342"/>
      <c r="AL642" s="342"/>
      <c r="AM642" s="342"/>
      <c r="AN642" s="342"/>
      <c r="AO642" s="342"/>
      <c r="AP642" s="342"/>
      <c r="AQ642" s="342"/>
      <c r="AR642" s="342"/>
      <c r="AS642" s="342"/>
      <c r="AT642" s="342"/>
      <c r="AU642" s="342"/>
      <c r="AV642" s="342"/>
      <c r="AW642" s="342"/>
      <c r="AX642" s="342"/>
      <c r="AY642" s="342"/>
      <c r="AZ642" s="342"/>
      <c r="BA642" s="342"/>
      <c r="BB642" s="342"/>
      <c r="BC642" s="342"/>
      <c r="BD642" s="342"/>
      <c r="BE642" s="1325"/>
      <c r="BF642" s="249"/>
    </row>
    <row r="643" spans="2:58" x14ac:dyDescent="0.25">
      <c r="B643" s="331"/>
      <c r="C643" s="332" t="s">
        <v>75</v>
      </c>
      <c r="D643" s="332"/>
      <c r="E643" s="332"/>
      <c r="F643" s="332"/>
      <c r="G643" s="342">
        <v>0</v>
      </c>
      <c r="H643" s="342">
        <f t="shared" ref="H643:AM643" si="213">G646</f>
        <v>0</v>
      </c>
      <c r="I643" s="342">
        <f t="shared" si="213"/>
        <v>0</v>
      </c>
      <c r="J643" s="342">
        <f t="shared" si="213"/>
        <v>0</v>
      </c>
      <c r="K643" s="342">
        <f t="shared" si="213"/>
        <v>0</v>
      </c>
      <c r="L643" s="342">
        <f t="shared" si="213"/>
        <v>0</v>
      </c>
      <c r="M643" s="342">
        <f t="shared" si="213"/>
        <v>0</v>
      </c>
      <c r="N643" s="342">
        <f t="shared" si="213"/>
        <v>0</v>
      </c>
      <c r="O643" s="342">
        <f t="shared" si="213"/>
        <v>0</v>
      </c>
      <c r="P643" s="342">
        <f t="shared" si="213"/>
        <v>0</v>
      </c>
      <c r="Q643" s="342">
        <f t="shared" si="213"/>
        <v>0</v>
      </c>
      <c r="R643" s="342">
        <f t="shared" si="213"/>
        <v>0</v>
      </c>
      <c r="S643" s="342">
        <f t="shared" si="213"/>
        <v>0</v>
      </c>
      <c r="T643" s="342">
        <f t="shared" si="213"/>
        <v>0</v>
      </c>
      <c r="U643" s="342">
        <f t="shared" si="213"/>
        <v>0</v>
      </c>
      <c r="V643" s="342">
        <f t="shared" si="213"/>
        <v>0</v>
      </c>
      <c r="W643" s="342">
        <f t="shared" si="213"/>
        <v>0</v>
      </c>
      <c r="X643" s="342">
        <f t="shared" si="213"/>
        <v>0</v>
      </c>
      <c r="Y643" s="342">
        <f t="shared" si="213"/>
        <v>0</v>
      </c>
      <c r="Z643" s="342">
        <f t="shared" si="213"/>
        <v>0</v>
      </c>
      <c r="AA643" s="342">
        <f t="shared" si="213"/>
        <v>0</v>
      </c>
      <c r="AB643" s="342">
        <f t="shared" si="213"/>
        <v>0</v>
      </c>
      <c r="AC643" s="342">
        <f t="shared" si="213"/>
        <v>0</v>
      </c>
      <c r="AD643" s="342">
        <f t="shared" si="213"/>
        <v>0</v>
      </c>
      <c r="AE643" s="342">
        <f t="shared" si="213"/>
        <v>0</v>
      </c>
      <c r="AF643" s="342">
        <f t="shared" si="213"/>
        <v>0</v>
      </c>
      <c r="AG643" s="342">
        <f t="shared" si="213"/>
        <v>0</v>
      </c>
      <c r="AH643" s="342">
        <f t="shared" si="213"/>
        <v>0</v>
      </c>
      <c r="AI643" s="342">
        <f t="shared" si="213"/>
        <v>0</v>
      </c>
      <c r="AJ643" s="342">
        <f t="shared" si="213"/>
        <v>0</v>
      </c>
      <c r="AK643" s="342">
        <f t="shared" si="213"/>
        <v>0</v>
      </c>
      <c r="AL643" s="342">
        <f t="shared" si="213"/>
        <v>0</v>
      </c>
      <c r="AM643" s="342">
        <f t="shared" si="213"/>
        <v>0</v>
      </c>
      <c r="AN643" s="342">
        <f t="shared" ref="AN643:BE643" si="214">AM646</f>
        <v>0</v>
      </c>
      <c r="AO643" s="342">
        <f t="shared" si="214"/>
        <v>0</v>
      </c>
      <c r="AP643" s="342">
        <f t="shared" si="214"/>
        <v>0</v>
      </c>
      <c r="AQ643" s="342">
        <f t="shared" si="214"/>
        <v>0</v>
      </c>
      <c r="AR643" s="342">
        <f t="shared" si="214"/>
        <v>0</v>
      </c>
      <c r="AS643" s="342">
        <f t="shared" si="214"/>
        <v>0</v>
      </c>
      <c r="AT643" s="342">
        <f t="shared" si="214"/>
        <v>0</v>
      </c>
      <c r="AU643" s="342">
        <f t="shared" si="214"/>
        <v>0</v>
      </c>
      <c r="AV643" s="342">
        <f t="shared" si="214"/>
        <v>0</v>
      </c>
      <c r="AW643" s="342">
        <f t="shared" si="214"/>
        <v>0</v>
      </c>
      <c r="AX643" s="342">
        <f t="shared" si="214"/>
        <v>0</v>
      </c>
      <c r="AY643" s="342">
        <f t="shared" si="214"/>
        <v>0</v>
      </c>
      <c r="AZ643" s="342">
        <f t="shared" si="214"/>
        <v>0</v>
      </c>
      <c r="BA643" s="342">
        <f t="shared" si="214"/>
        <v>0</v>
      </c>
      <c r="BB643" s="342">
        <f t="shared" si="214"/>
        <v>0</v>
      </c>
      <c r="BC643" s="342">
        <f t="shared" si="214"/>
        <v>0</v>
      </c>
      <c r="BD643" s="342">
        <f t="shared" si="214"/>
        <v>0</v>
      </c>
      <c r="BE643" s="1325">
        <f t="shared" si="214"/>
        <v>0</v>
      </c>
      <c r="BF643" s="249"/>
    </row>
    <row r="644" spans="2:58" x14ac:dyDescent="0.25">
      <c r="B644" s="331"/>
      <c r="C644" s="332" t="s">
        <v>76</v>
      </c>
      <c r="D644" s="332"/>
      <c r="E644" s="332"/>
      <c r="F644" s="332"/>
      <c r="G644" s="342">
        <f>G631</f>
        <v>0</v>
      </c>
      <c r="H644" s="342">
        <v>0</v>
      </c>
      <c r="I644" s="342">
        <v>0</v>
      </c>
      <c r="J644" s="342">
        <v>0</v>
      </c>
      <c r="K644" s="342">
        <v>0</v>
      </c>
      <c r="L644" s="342">
        <v>0</v>
      </c>
      <c r="M644" s="342">
        <v>0</v>
      </c>
      <c r="N644" s="342">
        <v>0</v>
      </c>
      <c r="O644" s="342">
        <v>0</v>
      </c>
      <c r="P644" s="342">
        <v>0</v>
      </c>
      <c r="Q644" s="342">
        <v>0</v>
      </c>
      <c r="R644" s="342">
        <v>0</v>
      </c>
      <c r="S644" s="342">
        <v>0</v>
      </c>
      <c r="T644" s="342">
        <v>0</v>
      </c>
      <c r="U644" s="342">
        <v>0</v>
      </c>
      <c r="V644" s="342">
        <v>0</v>
      </c>
      <c r="W644" s="342">
        <v>0</v>
      </c>
      <c r="X644" s="342">
        <v>0</v>
      </c>
      <c r="Y644" s="342">
        <v>0</v>
      </c>
      <c r="Z644" s="342">
        <v>0</v>
      </c>
      <c r="AA644" s="342">
        <v>0</v>
      </c>
      <c r="AB644" s="342">
        <v>0</v>
      </c>
      <c r="AC644" s="342">
        <v>0</v>
      </c>
      <c r="AD644" s="342">
        <v>0</v>
      </c>
      <c r="AE644" s="342">
        <v>0</v>
      </c>
      <c r="AF644" s="342">
        <v>0</v>
      </c>
      <c r="AG644" s="342">
        <v>0</v>
      </c>
      <c r="AH644" s="342">
        <v>0</v>
      </c>
      <c r="AI644" s="342">
        <v>0</v>
      </c>
      <c r="AJ644" s="342">
        <v>0</v>
      </c>
      <c r="AK644" s="342">
        <v>0</v>
      </c>
      <c r="AL644" s="342">
        <v>0</v>
      </c>
      <c r="AM644" s="342">
        <v>0</v>
      </c>
      <c r="AN644" s="342">
        <v>0</v>
      </c>
      <c r="AO644" s="342">
        <v>0</v>
      </c>
      <c r="AP644" s="342">
        <v>0</v>
      </c>
      <c r="AQ644" s="342">
        <v>0</v>
      </c>
      <c r="AR644" s="342">
        <v>0</v>
      </c>
      <c r="AS644" s="342">
        <v>0</v>
      </c>
      <c r="AT644" s="342">
        <v>0</v>
      </c>
      <c r="AU644" s="342">
        <v>0</v>
      </c>
      <c r="AV644" s="342">
        <v>0</v>
      </c>
      <c r="AW644" s="342">
        <v>0</v>
      </c>
      <c r="AX644" s="342">
        <v>0</v>
      </c>
      <c r="AY644" s="342">
        <v>0</v>
      </c>
      <c r="AZ644" s="342">
        <v>0</v>
      </c>
      <c r="BA644" s="342">
        <v>0</v>
      </c>
      <c r="BB644" s="342">
        <v>0</v>
      </c>
      <c r="BC644" s="342">
        <v>0</v>
      </c>
      <c r="BD644" s="342">
        <v>0</v>
      </c>
      <c r="BE644" s="1325">
        <v>0</v>
      </c>
      <c r="BF644" s="249"/>
    </row>
    <row r="645" spans="2:58" x14ac:dyDescent="0.25">
      <c r="B645" s="331"/>
      <c r="C645" s="339" t="s">
        <v>77</v>
      </c>
      <c r="D645" s="339"/>
      <c r="E645" s="339"/>
      <c r="F645" s="339"/>
      <c r="G645" s="1326">
        <v>0</v>
      </c>
      <c r="H645" s="1326">
        <f>-H639</f>
        <v>0</v>
      </c>
      <c r="I645" s="1326">
        <f t="shared" ref="I645:BE645" si="215">-I639</f>
        <v>0</v>
      </c>
      <c r="J645" s="1326">
        <f t="shared" si="215"/>
        <v>0</v>
      </c>
      <c r="K645" s="1326">
        <f t="shared" si="215"/>
        <v>0</v>
      </c>
      <c r="L645" s="1326">
        <f t="shared" si="215"/>
        <v>0</v>
      </c>
      <c r="M645" s="1326">
        <f t="shared" si="215"/>
        <v>0</v>
      </c>
      <c r="N645" s="1326">
        <f t="shared" si="215"/>
        <v>0</v>
      </c>
      <c r="O645" s="1326">
        <f t="shared" si="215"/>
        <v>0</v>
      </c>
      <c r="P645" s="1326">
        <f t="shared" si="215"/>
        <v>0</v>
      </c>
      <c r="Q645" s="1326">
        <f t="shared" si="215"/>
        <v>0</v>
      </c>
      <c r="R645" s="1326">
        <f t="shared" si="215"/>
        <v>0</v>
      </c>
      <c r="S645" s="1326">
        <f t="shared" si="215"/>
        <v>0</v>
      </c>
      <c r="T645" s="1326">
        <f t="shared" si="215"/>
        <v>0</v>
      </c>
      <c r="U645" s="1326">
        <f t="shared" si="215"/>
        <v>0</v>
      </c>
      <c r="V645" s="1326">
        <f t="shared" si="215"/>
        <v>0</v>
      </c>
      <c r="W645" s="1326">
        <f t="shared" si="215"/>
        <v>0</v>
      </c>
      <c r="X645" s="1326">
        <f t="shared" si="215"/>
        <v>0</v>
      </c>
      <c r="Y645" s="1326">
        <f t="shared" si="215"/>
        <v>0</v>
      </c>
      <c r="Z645" s="1326">
        <f t="shared" si="215"/>
        <v>0</v>
      </c>
      <c r="AA645" s="1326">
        <f t="shared" si="215"/>
        <v>0</v>
      </c>
      <c r="AB645" s="1326">
        <f t="shared" si="215"/>
        <v>0</v>
      </c>
      <c r="AC645" s="1326">
        <f t="shared" si="215"/>
        <v>0</v>
      </c>
      <c r="AD645" s="1326">
        <f t="shared" si="215"/>
        <v>0</v>
      </c>
      <c r="AE645" s="1326">
        <f t="shared" si="215"/>
        <v>0</v>
      </c>
      <c r="AF645" s="1326">
        <f t="shared" si="215"/>
        <v>0</v>
      </c>
      <c r="AG645" s="1326">
        <f t="shared" si="215"/>
        <v>0</v>
      </c>
      <c r="AH645" s="1326">
        <f t="shared" si="215"/>
        <v>0</v>
      </c>
      <c r="AI645" s="1326">
        <f t="shared" si="215"/>
        <v>0</v>
      </c>
      <c r="AJ645" s="1326">
        <f t="shared" si="215"/>
        <v>0</v>
      </c>
      <c r="AK645" s="1326">
        <f t="shared" si="215"/>
        <v>0</v>
      </c>
      <c r="AL645" s="1326">
        <f t="shared" si="215"/>
        <v>0</v>
      </c>
      <c r="AM645" s="1326">
        <f t="shared" si="215"/>
        <v>0</v>
      </c>
      <c r="AN645" s="1326">
        <f t="shared" si="215"/>
        <v>0</v>
      </c>
      <c r="AO645" s="1326">
        <f t="shared" si="215"/>
        <v>0</v>
      </c>
      <c r="AP645" s="1326">
        <f t="shared" si="215"/>
        <v>0</v>
      </c>
      <c r="AQ645" s="1326">
        <f t="shared" si="215"/>
        <v>0</v>
      </c>
      <c r="AR645" s="1326">
        <f t="shared" si="215"/>
        <v>0</v>
      </c>
      <c r="AS645" s="1326">
        <f t="shared" si="215"/>
        <v>0</v>
      </c>
      <c r="AT645" s="1326">
        <f t="shared" si="215"/>
        <v>0</v>
      </c>
      <c r="AU645" s="1326">
        <f t="shared" si="215"/>
        <v>0</v>
      </c>
      <c r="AV645" s="1326">
        <f t="shared" si="215"/>
        <v>0</v>
      </c>
      <c r="AW645" s="1326">
        <f t="shared" si="215"/>
        <v>0</v>
      </c>
      <c r="AX645" s="1326">
        <f t="shared" si="215"/>
        <v>0</v>
      </c>
      <c r="AY645" s="1326">
        <f t="shared" si="215"/>
        <v>0</v>
      </c>
      <c r="AZ645" s="1326">
        <f t="shared" si="215"/>
        <v>0</v>
      </c>
      <c r="BA645" s="1326">
        <f t="shared" si="215"/>
        <v>0</v>
      </c>
      <c r="BB645" s="1326">
        <f t="shared" si="215"/>
        <v>0</v>
      </c>
      <c r="BC645" s="1326">
        <f t="shared" si="215"/>
        <v>0</v>
      </c>
      <c r="BD645" s="1326">
        <f t="shared" si="215"/>
        <v>0</v>
      </c>
      <c r="BE645" s="1327">
        <f t="shared" si="215"/>
        <v>0</v>
      </c>
      <c r="BF645" s="249"/>
    </row>
    <row r="646" spans="2:58" x14ac:dyDescent="0.25">
      <c r="B646" s="331"/>
      <c r="C646" s="332" t="s">
        <v>66</v>
      </c>
      <c r="D646" s="332"/>
      <c r="E646" s="332"/>
      <c r="F646" s="332"/>
      <c r="G646" s="342">
        <f>SUM(G643:G645)</f>
        <v>0</v>
      </c>
      <c r="H646" s="342">
        <f>SUM(H643:H645)</f>
        <v>0</v>
      </c>
      <c r="I646" s="342">
        <f t="shared" ref="I646:BE646" si="216">SUM(I643:I645)</f>
        <v>0</v>
      </c>
      <c r="J646" s="342">
        <f t="shared" si="216"/>
        <v>0</v>
      </c>
      <c r="K646" s="342">
        <f t="shared" si="216"/>
        <v>0</v>
      </c>
      <c r="L646" s="342">
        <f t="shared" si="216"/>
        <v>0</v>
      </c>
      <c r="M646" s="342">
        <f t="shared" si="216"/>
        <v>0</v>
      </c>
      <c r="N646" s="342">
        <f t="shared" si="216"/>
        <v>0</v>
      </c>
      <c r="O646" s="342">
        <f t="shared" si="216"/>
        <v>0</v>
      </c>
      <c r="P646" s="342">
        <f t="shared" si="216"/>
        <v>0</v>
      </c>
      <c r="Q646" s="342">
        <f t="shared" si="216"/>
        <v>0</v>
      </c>
      <c r="R646" s="342">
        <f t="shared" si="216"/>
        <v>0</v>
      </c>
      <c r="S646" s="342">
        <f t="shared" si="216"/>
        <v>0</v>
      </c>
      <c r="T646" s="342">
        <f t="shared" si="216"/>
        <v>0</v>
      </c>
      <c r="U646" s="342">
        <f t="shared" si="216"/>
        <v>0</v>
      </c>
      <c r="V646" s="342">
        <f t="shared" si="216"/>
        <v>0</v>
      </c>
      <c r="W646" s="342">
        <f t="shared" si="216"/>
        <v>0</v>
      </c>
      <c r="X646" s="342">
        <f t="shared" si="216"/>
        <v>0</v>
      </c>
      <c r="Y646" s="342">
        <f t="shared" si="216"/>
        <v>0</v>
      </c>
      <c r="Z646" s="342">
        <f t="shared" si="216"/>
        <v>0</v>
      </c>
      <c r="AA646" s="342">
        <f t="shared" si="216"/>
        <v>0</v>
      </c>
      <c r="AB646" s="342">
        <f t="shared" si="216"/>
        <v>0</v>
      </c>
      <c r="AC646" s="342">
        <f t="shared" si="216"/>
        <v>0</v>
      </c>
      <c r="AD646" s="342">
        <f t="shared" si="216"/>
        <v>0</v>
      </c>
      <c r="AE646" s="342">
        <f t="shared" si="216"/>
        <v>0</v>
      </c>
      <c r="AF646" s="342">
        <f t="shared" si="216"/>
        <v>0</v>
      </c>
      <c r="AG646" s="342">
        <f t="shared" si="216"/>
        <v>0</v>
      </c>
      <c r="AH646" s="342">
        <f t="shared" si="216"/>
        <v>0</v>
      </c>
      <c r="AI646" s="342">
        <f t="shared" si="216"/>
        <v>0</v>
      </c>
      <c r="AJ646" s="342">
        <f t="shared" si="216"/>
        <v>0</v>
      </c>
      <c r="AK646" s="342">
        <f t="shared" si="216"/>
        <v>0</v>
      </c>
      <c r="AL646" s="342">
        <f t="shared" si="216"/>
        <v>0</v>
      </c>
      <c r="AM646" s="342">
        <f t="shared" si="216"/>
        <v>0</v>
      </c>
      <c r="AN646" s="342">
        <f t="shared" si="216"/>
        <v>0</v>
      </c>
      <c r="AO646" s="342">
        <f t="shared" si="216"/>
        <v>0</v>
      </c>
      <c r="AP646" s="342">
        <f t="shared" si="216"/>
        <v>0</v>
      </c>
      <c r="AQ646" s="342">
        <f t="shared" si="216"/>
        <v>0</v>
      </c>
      <c r="AR646" s="342">
        <f t="shared" si="216"/>
        <v>0</v>
      </c>
      <c r="AS646" s="342">
        <f t="shared" si="216"/>
        <v>0</v>
      </c>
      <c r="AT646" s="342">
        <f t="shared" si="216"/>
        <v>0</v>
      </c>
      <c r="AU646" s="342">
        <f t="shared" si="216"/>
        <v>0</v>
      </c>
      <c r="AV646" s="342">
        <f t="shared" si="216"/>
        <v>0</v>
      </c>
      <c r="AW646" s="342">
        <f t="shared" si="216"/>
        <v>0</v>
      </c>
      <c r="AX646" s="342">
        <f t="shared" si="216"/>
        <v>0</v>
      </c>
      <c r="AY646" s="342">
        <f t="shared" si="216"/>
        <v>0</v>
      </c>
      <c r="AZ646" s="342">
        <f t="shared" si="216"/>
        <v>0</v>
      </c>
      <c r="BA646" s="342">
        <f t="shared" si="216"/>
        <v>0</v>
      </c>
      <c r="BB646" s="342">
        <f t="shared" si="216"/>
        <v>0</v>
      </c>
      <c r="BC646" s="342">
        <f t="shared" si="216"/>
        <v>0</v>
      </c>
      <c r="BD646" s="342">
        <f t="shared" si="216"/>
        <v>0</v>
      </c>
      <c r="BE646" s="1325">
        <f t="shared" si="216"/>
        <v>0</v>
      </c>
      <c r="BF646" s="249"/>
    </row>
    <row r="647" spans="2:58" x14ac:dyDescent="0.25">
      <c r="B647" s="331"/>
      <c r="C647" s="332"/>
      <c r="D647" s="332"/>
      <c r="E647" s="332"/>
      <c r="F647" s="332"/>
      <c r="G647" s="342"/>
      <c r="H647" s="342"/>
      <c r="I647" s="342"/>
      <c r="J647" s="342"/>
      <c r="K647" s="342"/>
      <c r="L647" s="342"/>
      <c r="M647" s="342"/>
      <c r="N647" s="342"/>
      <c r="O647" s="342"/>
      <c r="P647" s="342"/>
      <c r="Q647" s="342"/>
      <c r="R647" s="342"/>
      <c r="S647" s="342"/>
      <c r="T647" s="342"/>
      <c r="U647" s="342"/>
      <c r="V647" s="342"/>
      <c r="W647" s="342"/>
      <c r="X647" s="342"/>
      <c r="Y647" s="342"/>
      <c r="Z647" s="342"/>
      <c r="AA647" s="342"/>
      <c r="AB647" s="342"/>
      <c r="AC647" s="342"/>
      <c r="AD647" s="342"/>
      <c r="AE647" s="342"/>
      <c r="AF647" s="342"/>
      <c r="AG647" s="342"/>
      <c r="AH647" s="342"/>
      <c r="AI647" s="342"/>
      <c r="AJ647" s="342"/>
      <c r="AK647" s="342"/>
      <c r="AL647" s="342"/>
      <c r="AM647" s="342"/>
      <c r="AN647" s="342"/>
      <c r="AO647" s="342"/>
      <c r="AP647" s="342"/>
      <c r="AQ647" s="342"/>
      <c r="AR647" s="342"/>
      <c r="AS647" s="342"/>
      <c r="AT647" s="342"/>
      <c r="AU647" s="342"/>
      <c r="AV647" s="342"/>
      <c r="AW647" s="342"/>
      <c r="AX647" s="342"/>
      <c r="AY647" s="342"/>
      <c r="AZ647" s="342"/>
      <c r="BA647" s="342"/>
      <c r="BB647" s="342"/>
      <c r="BC647" s="342"/>
      <c r="BD647" s="342"/>
      <c r="BE647" s="1325"/>
      <c r="BF647" s="249"/>
    </row>
    <row r="648" spans="2:58" x14ac:dyDescent="0.25">
      <c r="B648" s="331"/>
      <c r="C648" s="410" t="s">
        <v>71</v>
      </c>
      <c r="D648" s="332"/>
      <c r="E648" s="332"/>
      <c r="F648" s="332"/>
      <c r="G648" s="342"/>
      <c r="H648" s="342"/>
      <c r="I648" s="342"/>
      <c r="J648" s="342"/>
      <c r="K648" s="342"/>
      <c r="L648" s="342"/>
      <c r="M648" s="342"/>
      <c r="N648" s="342"/>
      <c r="O648" s="342"/>
      <c r="P648" s="342"/>
      <c r="Q648" s="342"/>
      <c r="R648" s="342"/>
      <c r="S648" s="342"/>
      <c r="T648" s="342"/>
      <c r="U648" s="342"/>
      <c r="V648" s="342"/>
      <c r="W648" s="342"/>
      <c r="X648" s="342"/>
      <c r="Y648" s="342"/>
      <c r="Z648" s="342"/>
      <c r="AA648" s="342"/>
      <c r="AB648" s="342"/>
      <c r="AC648" s="342"/>
      <c r="AD648" s="342"/>
      <c r="AE648" s="342"/>
      <c r="AF648" s="342"/>
      <c r="AG648" s="342"/>
      <c r="AH648" s="342"/>
      <c r="AI648" s="342"/>
      <c r="AJ648" s="342"/>
      <c r="AK648" s="342"/>
      <c r="AL648" s="342"/>
      <c r="AM648" s="342"/>
      <c r="AN648" s="342"/>
      <c r="AO648" s="342"/>
      <c r="AP648" s="342"/>
      <c r="AQ648" s="342"/>
      <c r="AR648" s="342"/>
      <c r="AS648" s="342"/>
      <c r="AT648" s="342"/>
      <c r="AU648" s="342"/>
      <c r="AV648" s="342"/>
      <c r="AW648" s="342"/>
      <c r="AX648" s="342"/>
      <c r="AY648" s="342"/>
      <c r="AZ648" s="342"/>
      <c r="BA648" s="342"/>
      <c r="BB648" s="342"/>
      <c r="BC648" s="342"/>
      <c r="BD648" s="342"/>
      <c r="BE648" s="1325"/>
      <c r="BF648" s="249"/>
    </row>
    <row r="649" spans="2:58" x14ac:dyDescent="0.25">
      <c r="B649" s="331"/>
      <c r="C649" s="332" t="s">
        <v>233</v>
      </c>
      <c r="D649" s="332"/>
      <c r="E649" s="332"/>
      <c r="F649" s="332"/>
      <c r="G649" s="342"/>
      <c r="H649" s="342">
        <f>IF($G631&gt;0, $G631*'II. Inputs, Baseline Energy Mix'!$R$74/10000,0)</f>
        <v>0</v>
      </c>
      <c r="I649" s="342">
        <v>0</v>
      </c>
      <c r="J649" s="342">
        <v>0</v>
      </c>
      <c r="K649" s="342">
        <v>0</v>
      </c>
      <c r="L649" s="342">
        <v>0</v>
      </c>
      <c r="M649" s="342">
        <v>0</v>
      </c>
      <c r="N649" s="342">
        <v>0</v>
      </c>
      <c r="O649" s="342">
        <v>0</v>
      </c>
      <c r="P649" s="342">
        <v>0</v>
      </c>
      <c r="Q649" s="342">
        <v>0</v>
      </c>
      <c r="R649" s="342">
        <v>0</v>
      </c>
      <c r="S649" s="342">
        <v>0</v>
      </c>
      <c r="T649" s="342">
        <v>0</v>
      </c>
      <c r="U649" s="342">
        <v>0</v>
      </c>
      <c r="V649" s="342">
        <v>0</v>
      </c>
      <c r="W649" s="342">
        <v>0</v>
      </c>
      <c r="X649" s="342">
        <v>0</v>
      </c>
      <c r="Y649" s="342">
        <v>0</v>
      </c>
      <c r="Z649" s="342">
        <v>0</v>
      </c>
      <c r="AA649" s="342">
        <v>0</v>
      </c>
      <c r="AB649" s="342">
        <v>0</v>
      </c>
      <c r="AC649" s="342">
        <v>0</v>
      </c>
      <c r="AD649" s="342">
        <v>0</v>
      </c>
      <c r="AE649" s="342">
        <v>0</v>
      </c>
      <c r="AF649" s="342">
        <v>0</v>
      </c>
      <c r="AG649" s="342">
        <v>0</v>
      </c>
      <c r="AH649" s="342">
        <v>0</v>
      </c>
      <c r="AI649" s="342">
        <v>0</v>
      </c>
      <c r="AJ649" s="342">
        <v>0</v>
      </c>
      <c r="AK649" s="342">
        <v>0</v>
      </c>
      <c r="AL649" s="342">
        <v>0</v>
      </c>
      <c r="AM649" s="342">
        <v>0</v>
      </c>
      <c r="AN649" s="342">
        <v>0</v>
      </c>
      <c r="AO649" s="342">
        <v>0</v>
      </c>
      <c r="AP649" s="342">
        <v>0</v>
      </c>
      <c r="AQ649" s="342">
        <v>0</v>
      </c>
      <c r="AR649" s="342">
        <v>0</v>
      </c>
      <c r="AS649" s="342">
        <v>0</v>
      </c>
      <c r="AT649" s="342">
        <v>0</v>
      </c>
      <c r="AU649" s="342">
        <v>0</v>
      </c>
      <c r="AV649" s="342">
        <v>0</v>
      </c>
      <c r="AW649" s="342">
        <v>0</v>
      </c>
      <c r="AX649" s="342">
        <v>0</v>
      </c>
      <c r="AY649" s="342">
        <v>0</v>
      </c>
      <c r="AZ649" s="342">
        <v>0</v>
      </c>
      <c r="BA649" s="342">
        <v>0</v>
      </c>
      <c r="BB649" s="342">
        <v>0</v>
      </c>
      <c r="BC649" s="342">
        <v>0</v>
      </c>
      <c r="BD649" s="342">
        <v>0</v>
      </c>
      <c r="BE649" s="1325">
        <v>0</v>
      </c>
      <c r="BF649" s="249"/>
    </row>
    <row r="650" spans="2:58" x14ac:dyDescent="0.25">
      <c r="B650" s="331"/>
      <c r="C650" s="332" t="str">
        <f>'II. Inputs, Baseline Energy Mix'!$E$77</f>
        <v>Front-end Fee, Public Guarantee</v>
      </c>
      <c r="D650" s="332"/>
      <c r="E650" s="332"/>
      <c r="F650" s="332"/>
      <c r="G650" s="342"/>
      <c r="H650" s="342">
        <f>IF($G631&gt;0, $G631*$G634*'II. Inputs, Baseline Energy Mix'!$R$77/10000,0)</f>
        <v>0</v>
      </c>
      <c r="I650" s="342">
        <v>0</v>
      </c>
      <c r="J650" s="342">
        <v>0</v>
      </c>
      <c r="K650" s="342">
        <v>0</v>
      </c>
      <c r="L650" s="342">
        <v>0</v>
      </c>
      <c r="M650" s="342">
        <v>0</v>
      </c>
      <c r="N650" s="342">
        <v>0</v>
      </c>
      <c r="O650" s="342">
        <v>0</v>
      </c>
      <c r="P650" s="342">
        <v>0</v>
      </c>
      <c r="Q650" s="342">
        <v>0</v>
      </c>
      <c r="R650" s="342">
        <v>0</v>
      </c>
      <c r="S650" s="342">
        <v>0</v>
      </c>
      <c r="T650" s="342">
        <v>0</v>
      </c>
      <c r="U650" s="342">
        <v>0</v>
      </c>
      <c r="V650" s="342">
        <v>0</v>
      </c>
      <c r="W650" s="342">
        <v>0</v>
      </c>
      <c r="X650" s="342">
        <v>0</v>
      </c>
      <c r="Y650" s="342">
        <v>0</v>
      </c>
      <c r="Z650" s="342">
        <v>0</v>
      </c>
      <c r="AA650" s="342">
        <v>0</v>
      </c>
      <c r="AB650" s="342">
        <v>0</v>
      </c>
      <c r="AC650" s="342">
        <v>0</v>
      </c>
      <c r="AD650" s="342">
        <v>0</v>
      </c>
      <c r="AE650" s="342">
        <v>0</v>
      </c>
      <c r="AF650" s="342">
        <v>0</v>
      </c>
      <c r="AG650" s="342">
        <v>0</v>
      </c>
      <c r="AH650" s="342">
        <v>0</v>
      </c>
      <c r="AI650" s="342">
        <v>0</v>
      </c>
      <c r="AJ650" s="342">
        <v>0</v>
      </c>
      <c r="AK650" s="342">
        <v>0</v>
      </c>
      <c r="AL650" s="342">
        <v>0</v>
      </c>
      <c r="AM650" s="342">
        <v>0</v>
      </c>
      <c r="AN650" s="342">
        <v>0</v>
      </c>
      <c r="AO650" s="342">
        <v>0</v>
      </c>
      <c r="AP650" s="342">
        <v>0</v>
      </c>
      <c r="AQ650" s="342">
        <v>0</v>
      </c>
      <c r="AR650" s="342">
        <v>0</v>
      </c>
      <c r="AS650" s="342">
        <v>0</v>
      </c>
      <c r="AT650" s="342">
        <v>0</v>
      </c>
      <c r="AU650" s="342">
        <v>0</v>
      </c>
      <c r="AV650" s="342">
        <v>0</v>
      </c>
      <c r="AW650" s="342">
        <v>0</v>
      </c>
      <c r="AX650" s="342">
        <v>0</v>
      </c>
      <c r="AY650" s="342">
        <v>0</v>
      </c>
      <c r="AZ650" s="342">
        <v>0</v>
      </c>
      <c r="BA650" s="342">
        <v>0</v>
      </c>
      <c r="BB650" s="342">
        <v>0</v>
      </c>
      <c r="BC650" s="342">
        <v>0</v>
      </c>
      <c r="BD650" s="342">
        <v>0</v>
      </c>
      <c r="BE650" s="1325">
        <v>0</v>
      </c>
      <c r="BF650" s="249"/>
    </row>
    <row r="651" spans="2:58" x14ac:dyDescent="0.25">
      <c r="B651" s="331"/>
      <c r="C651" s="332" t="str">
        <f>'II. Inputs, Baseline Energy Mix'!$E$78</f>
        <v xml:space="preserve">Annual Public Guarantee Fee </v>
      </c>
      <c r="D651" s="332"/>
      <c r="E651" s="332"/>
      <c r="F651" s="332"/>
      <c r="G651" s="342"/>
      <c r="H651" s="342">
        <f>IF(H$299&gt;$G635,0,((H643+H646)/2)*$G634*'II. Inputs, Baseline Energy Mix'!$R$78/10000)</f>
        <v>0</v>
      </c>
      <c r="I651" s="342">
        <f>IF(I$299&gt;$G635,0,((I643+I646)/2)*$G634*'II. Inputs, Baseline Energy Mix'!$R$78/10000)</f>
        <v>0</v>
      </c>
      <c r="J651" s="342">
        <f>IF(J$299&gt;$G635,0,((J643+J646)/2)*$G634*'II. Inputs, Baseline Energy Mix'!$R$78/10000)</f>
        <v>0</v>
      </c>
      <c r="K651" s="342">
        <f>IF(K$299&gt;$G635,0,((K643+K646)/2)*$G634*'II. Inputs, Baseline Energy Mix'!$R$78/10000)</f>
        <v>0</v>
      </c>
      <c r="L651" s="342">
        <f>IF(L$299&gt;$G635,0,((L643+L646)/2)*$G634*'II. Inputs, Baseline Energy Mix'!$R$78/10000)</f>
        <v>0</v>
      </c>
      <c r="M651" s="342">
        <f>IF(M$299&gt;$G635,0,((M643+M646)/2)*$G634*'II. Inputs, Baseline Energy Mix'!$R$78/10000)</f>
        <v>0</v>
      </c>
      <c r="N651" s="342">
        <f>IF(N$299&gt;$G635,0,((N643+N646)/2)*$G634*'II. Inputs, Baseline Energy Mix'!$R$78/10000)</f>
        <v>0</v>
      </c>
      <c r="O651" s="342">
        <f>IF(O$299&gt;$G635,0,((O643+O646)/2)*$G634*'II. Inputs, Baseline Energy Mix'!$R$78/10000)</f>
        <v>0</v>
      </c>
      <c r="P651" s="342">
        <f>IF(P$299&gt;$G635,0,((P643+P646)/2)*$G634*'II. Inputs, Baseline Energy Mix'!$R$78/10000)</f>
        <v>0</v>
      </c>
      <c r="Q651" s="342">
        <f>IF(Q$299&gt;$G635,0,((Q643+Q646)/2)*$G634*'II. Inputs, Baseline Energy Mix'!$R$78/10000)</f>
        <v>0</v>
      </c>
      <c r="R651" s="342">
        <f>IF(R$299&gt;$G635,0,((R643+R646)/2)*$G634*'II. Inputs, Baseline Energy Mix'!$R$78/10000)</f>
        <v>0</v>
      </c>
      <c r="S651" s="342">
        <f>IF(S$299&gt;$G635,0,((S643+S646)/2)*$G634*'II. Inputs, Baseline Energy Mix'!$R$78/10000)</f>
        <v>0</v>
      </c>
      <c r="T651" s="342">
        <f>IF(T$299&gt;$G635,0,((T643+T646)/2)*$G634*'II. Inputs, Baseline Energy Mix'!$R$78/10000)</f>
        <v>0</v>
      </c>
      <c r="U651" s="342">
        <f>IF(U$299&gt;$G635,0,((U643+U646)/2)*$G634*'II. Inputs, Baseline Energy Mix'!$R$78/10000)</f>
        <v>0</v>
      </c>
      <c r="V651" s="342">
        <f>IF(V$299&gt;$G635,0,((V643+V646)/2)*$G634*'II. Inputs, Baseline Energy Mix'!$R$78/10000)</f>
        <v>0</v>
      </c>
      <c r="W651" s="342">
        <f>IF(W$299&gt;$G635,0,((W643+W646)/2)*$G634*'II. Inputs, Baseline Energy Mix'!$R$78/10000)</f>
        <v>0</v>
      </c>
      <c r="X651" s="342">
        <f>IF(X$299&gt;$G635,0,((X643+X646)/2)*$G634*'II. Inputs, Baseline Energy Mix'!$R$78/10000)</f>
        <v>0</v>
      </c>
      <c r="Y651" s="342">
        <f>IF(Y$299&gt;$G635,0,((Y643+Y646)/2)*$G634*'II. Inputs, Baseline Energy Mix'!$R$78/10000)</f>
        <v>0</v>
      </c>
      <c r="Z651" s="342">
        <f>IF(Z$299&gt;$G635,0,((Z643+Z646)/2)*$G634*'II. Inputs, Baseline Energy Mix'!$R$78/10000)</f>
        <v>0</v>
      </c>
      <c r="AA651" s="342">
        <f>IF(AA$299&gt;$G635,0,((AA643+AA646)/2)*$G634*'II. Inputs, Baseline Energy Mix'!$R$78/10000)</f>
        <v>0</v>
      </c>
      <c r="AB651" s="342">
        <f>IF(AB$299&gt;$G635,0,((AB643+AB646)/2)*$G634*'II. Inputs, Baseline Energy Mix'!$R$78/10000)</f>
        <v>0</v>
      </c>
      <c r="AC651" s="342">
        <f>IF(AC$299&gt;$G635,0,((AC643+AC646)/2)*$G634*'II. Inputs, Baseline Energy Mix'!$R$78/10000)</f>
        <v>0</v>
      </c>
      <c r="AD651" s="342">
        <f>IF(AD$299&gt;$G635,0,((AD643+AD646)/2)*$G634*'II. Inputs, Baseline Energy Mix'!$R$78/10000)</f>
        <v>0</v>
      </c>
      <c r="AE651" s="342">
        <f>IF(AE$299&gt;$G635,0,((AE643+AE646)/2)*$G634*'II. Inputs, Baseline Energy Mix'!$R$78/10000)</f>
        <v>0</v>
      </c>
      <c r="AF651" s="342">
        <f>IF(AF$299&gt;$G635,0,((AF643+AF646)/2)*$G634*'II. Inputs, Baseline Energy Mix'!$R$78/10000)</f>
        <v>0</v>
      </c>
      <c r="AG651" s="342">
        <f>IF(AG$299&gt;$G635,0,((AG643+AG646)/2)*$G634*'II. Inputs, Baseline Energy Mix'!$R$78/10000)</f>
        <v>0</v>
      </c>
      <c r="AH651" s="342">
        <f>IF(AH$299&gt;$G635,0,((AH643+AH646)/2)*$G634*'II. Inputs, Baseline Energy Mix'!$R$78/10000)</f>
        <v>0</v>
      </c>
      <c r="AI651" s="342">
        <f>IF(AI$299&gt;$G635,0,((AI643+AI646)/2)*$G634*'II. Inputs, Baseline Energy Mix'!$R$78/10000)</f>
        <v>0</v>
      </c>
      <c r="AJ651" s="342">
        <f>IF(AJ$299&gt;$G635,0,((AJ643+AJ646)/2)*$G634*'II. Inputs, Baseline Energy Mix'!$R$78/10000)</f>
        <v>0</v>
      </c>
      <c r="AK651" s="342">
        <f>IF(AK$299&gt;$G635,0,((AK643+AK646)/2)*$G634*'II. Inputs, Baseline Energy Mix'!$R$78/10000)</f>
        <v>0</v>
      </c>
      <c r="AL651" s="342">
        <f>IF(AL$299&gt;$G635,0,((AL643+AL646)/2)*$G634*'II. Inputs, Baseline Energy Mix'!$R$78/10000)</f>
        <v>0</v>
      </c>
      <c r="AM651" s="342">
        <f>IF(AM$299&gt;$G635,0,((AM643+AM646)/2)*$G634*'II. Inputs, Baseline Energy Mix'!$R$78/10000)</f>
        <v>0</v>
      </c>
      <c r="AN651" s="342">
        <f>IF(AN$299&gt;$G635,0,((AN643+AN646)/2)*$G634*'II. Inputs, Baseline Energy Mix'!$R$78/10000)</f>
        <v>0</v>
      </c>
      <c r="AO651" s="342">
        <f>IF(AO$299&gt;$G635,0,((AO643+AO646)/2)*$G634*'II. Inputs, Baseline Energy Mix'!$R$78/10000)</f>
        <v>0</v>
      </c>
      <c r="AP651" s="342">
        <f>IF(AP$299&gt;$G635,0,((AP643+AP646)/2)*$G634*'II. Inputs, Baseline Energy Mix'!$R$78/10000)</f>
        <v>0</v>
      </c>
      <c r="AQ651" s="342">
        <f>IF(AQ$299&gt;$G635,0,((AQ643+AQ646)/2)*$G634*'II. Inputs, Baseline Energy Mix'!$R$78/10000)</f>
        <v>0</v>
      </c>
      <c r="AR651" s="342">
        <f>IF(AR$299&gt;$G635,0,((AR643+AR646)/2)*$G634*'II. Inputs, Baseline Energy Mix'!$R$78/10000)</f>
        <v>0</v>
      </c>
      <c r="AS651" s="342">
        <f>IF(AS$299&gt;$G635,0,((AS643+AS646)/2)*$G634*'II. Inputs, Baseline Energy Mix'!$R$78/10000)</f>
        <v>0</v>
      </c>
      <c r="AT651" s="342">
        <f>IF(AT$299&gt;$G635,0,((AT643+AT646)/2)*$G634*'II. Inputs, Baseline Energy Mix'!$R$78/10000)</f>
        <v>0</v>
      </c>
      <c r="AU651" s="342">
        <f>IF(AU$299&gt;$G635,0,((AU643+AU646)/2)*$G634*'II. Inputs, Baseline Energy Mix'!$R$78/10000)</f>
        <v>0</v>
      </c>
      <c r="AV651" s="342">
        <f>IF(AV$299&gt;$G635,0,((AV643+AV646)/2)*$G634*'II. Inputs, Baseline Energy Mix'!$R$78/10000)</f>
        <v>0</v>
      </c>
      <c r="AW651" s="342">
        <f>IF(AW$299&gt;$G635,0,((AW643+AW646)/2)*$G634*'II. Inputs, Baseline Energy Mix'!$R$78/10000)</f>
        <v>0</v>
      </c>
      <c r="AX651" s="342">
        <f>IF(AX$299&gt;$G635,0,((AX643+AX646)/2)*$G634*'II. Inputs, Baseline Energy Mix'!$R$78/10000)</f>
        <v>0</v>
      </c>
      <c r="AY651" s="342">
        <f>IF(AY$299&gt;$G635,0,((AY643+AY646)/2)*$G634*'II. Inputs, Baseline Energy Mix'!$R$78/10000)</f>
        <v>0</v>
      </c>
      <c r="AZ651" s="342">
        <f>IF(AZ$299&gt;$G635,0,((AZ643+AZ646)/2)*$G634*'II. Inputs, Baseline Energy Mix'!$R$78/10000)</f>
        <v>0</v>
      </c>
      <c r="BA651" s="342">
        <f>IF(BA$299&gt;$G635,0,((BA643+BA646)/2)*$G634*'II. Inputs, Baseline Energy Mix'!$R$78/10000)</f>
        <v>0</v>
      </c>
      <c r="BB651" s="342">
        <f>IF(BB$299&gt;$G635,0,((BB643+BB646)/2)*$G634*'II. Inputs, Baseline Energy Mix'!$R$78/10000)</f>
        <v>0</v>
      </c>
      <c r="BC651" s="342">
        <f>IF(BC$299&gt;$G635,0,((BC643+BC646)/2)*$G634*'II. Inputs, Baseline Energy Mix'!$R$78/10000)</f>
        <v>0</v>
      </c>
      <c r="BD651" s="342">
        <f>IF(BD$299&gt;$G635,0,((BD643+BD646)/2)*$G634*'II. Inputs, Baseline Energy Mix'!$R$78/10000)</f>
        <v>0</v>
      </c>
      <c r="BE651" s="1325">
        <f>IF(BE$299&gt;$G635,0,((BE643+BE646)/2)*$G634*'II. Inputs, Baseline Energy Mix'!$R$78/10000)</f>
        <v>0</v>
      </c>
      <c r="BF651" s="249"/>
    </row>
    <row r="652" spans="2:58" x14ac:dyDescent="0.25">
      <c r="B652" s="331"/>
      <c r="C652" s="332"/>
      <c r="D652" s="332"/>
      <c r="E652" s="332"/>
      <c r="F652" s="332"/>
      <c r="G652" s="332"/>
      <c r="H652" s="332"/>
      <c r="I652" s="332"/>
      <c r="J652" s="332"/>
      <c r="K652" s="332"/>
      <c r="L652" s="332"/>
      <c r="M652" s="332"/>
      <c r="N652" s="332"/>
      <c r="O652" s="332"/>
      <c r="P652" s="332"/>
      <c r="Q652" s="332"/>
      <c r="R652" s="332"/>
      <c r="S652" s="332"/>
      <c r="T652" s="332"/>
      <c r="U652" s="332"/>
      <c r="V652" s="332"/>
      <c r="W652" s="332"/>
      <c r="X652" s="332"/>
      <c r="Y652" s="332"/>
      <c r="Z652" s="332"/>
      <c r="AA652" s="332"/>
      <c r="AB652" s="332"/>
      <c r="AC652" s="332"/>
      <c r="AD652" s="332"/>
      <c r="AE652" s="332"/>
      <c r="AF652" s="332"/>
      <c r="AG652" s="332"/>
      <c r="AH652" s="332"/>
      <c r="AI652" s="332"/>
      <c r="AJ652" s="332"/>
      <c r="AK652" s="332"/>
      <c r="AL652" s="332"/>
      <c r="AM652" s="332"/>
      <c r="AN652" s="332"/>
      <c r="AO652" s="332"/>
      <c r="AP652" s="332"/>
      <c r="AQ652" s="332"/>
      <c r="AR652" s="332"/>
      <c r="AS652" s="332"/>
      <c r="AT652" s="332"/>
      <c r="AU652" s="332"/>
      <c r="AV652" s="332"/>
      <c r="AW652" s="332"/>
      <c r="AX652" s="332"/>
      <c r="AY652" s="332"/>
      <c r="AZ652" s="332"/>
      <c r="BA652" s="332"/>
      <c r="BB652" s="332"/>
      <c r="BC652" s="332"/>
      <c r="BD652" s="332"/>
      <c r="BE652" s="333"/>
    </row>
    <row r="653" spans="2:58" x14ac:dyDescent="0.25">
      <c r="B653" s="343" t="s">
        <v>180</v>
      </c>
      <c r="C653" s="332"/>
      <c r="D653" s="332"/>
      <c r="E653" s="332"/>
      <c r="F653" s="332"/>
      <c r="G653" s="332"/>
      <c r="H653" s="332"/>
      <c r="I653" s="332"/>
      <c r="J653" s="332"/>
      <c r="K653" s="332"/>
      <c r="L653" s="332"/>
      <c r="M653" s="332"/>
      <c r="N653" s="332"/>
      <c r="O653" s="332"/>
      <c r="P653" s="332"/>
      <c r="Q653" s="332"/>
      <c r="R653" s="332"/>
      <c r="S653" s="332"/>
      <c r="T653" s="332"/>
      <c r="U653" s="332"/>
      <c r="V653" s="332"/>
      <c r="W653" s="332"/>
      <c r="X653" s="332"/>
      <c r="Y653" s="332"/>
      <c r="Z653" s="332"/>
      <c r="AA653" s="332"/>
      <c r="AB653" s="332"/>
      <c r="AC653" s="332"/>
      <c r="AD653" s="332"/>
      <c r="AE653" s="332"/>
      <c r="AF653" s="332"/>
      <c r="AG653" s="332"/>
      <c r="AH653" s="332"/>
      <c r="AI653" s="332"/>
      <c r="AJ653" s="332"/>
      <c r="AK653" s="332"/>
      <c r="AL653" s="332"/>
      <c r="AM653" s="332"/>
      <c r="AN653" s="332"/>
      <c r="AO653" s="332"/>
      <c r="AP653" s="332"/>
      <c r="AQ653" s="332"/>
      <c r="AR653" s="332"/>
      <c r="AS653" s="332"/>
      <c r="AT653" s="332"/>
      <c r="AU653" s="332"/>
      <c r="AV653" s="332"/>
      <c r="AW653" s="332"/>
      <c r="AX653" s="332"/>
      <c r="AY653" s="332"/>
      <c r="AZ653" s="332"/>
      <c r="BA653" s="332"/>
      <c r="BB653" s="332"/>
      <c r="BC653" s="332"/>
      <c r="BD653" s="332"/>
      <c r="BE653" s="333"/>
    </row>
    <row r="654" spans="2:58" x14ac:dyDescent="0.25">
      <c r="B654" s="331"/>
      <c r="C654" s="407" t="s">
        <v>68</v>
      </c>
      <c r="D654" s="332"/>
      <c r="E654" s="332"/>
      <c r="F654" s="332"/>
      <c r="G654" s="342">
        <f>IF('II. Inputs, Baseline Energy Mix'!$R$15&gt;0,('II. Inputs, Baseline Energy Mix'!$R$16*'II. Inputs, Baseline Energy Mix'!$R$17*'II. Inputs, Baseline Energy Mix'!$R$30*'II. Inputs, Baseline Energy Mix'!$R$34),0)</f>
        <v>0</v>
      </c>
      <c r="H654" s="332"/>
      <c r="I654" s="332"/>
      <c r="J654" s="332"/>
      <c r="K654" s="332"/>
      <c r="L654" s="332"/>
      <c r="M654" s="332"/>
      <c r="N654" s="332"/>
      <c r="O654" s="332"/>
      <c r="P654" s="332"/>
      <c r="Q654" s="332"/>
      <c r="R654" s="332"/>
      <c r="S654" s="332"/>
      <c r="T654" s="332"/>
      <c r="U654" s="332"/>
      <c r="V654" s="332"/>
      <c r="W654" s="332"/>
      <c r="X654" s="332"/>
      <c r="Y654" s="332"/>
      <c r="Z654" s="332"/>
      <c r="AA654" s="332"/>
      <c r="AB654" s="332"/>
      <c r="AC654" s="332"/>
      <c r="AD654" s="332"/>
      <c r="AE654" s="332"/>
      <c r="AF654" s="332"/>
      <c r="AG654" s="332"/>
      <c r="AH654" s="332"/>
      <c r="AI654" s="332"/>
      <c r="AJ654" s="332"/>
      <c r="AK654" s="332"/>
      <c r="AL654" s="332"/>
      <c r="AM654" s="332"/>
      <c r="AN654" s="332"/>
      <c r="AO654" s="332"/>
      <c r="AP654" s="332"/>
      <c r="AQ654" s="332"/>
      <c r="AR654" s="332"/>
      <c r="AS654" s="332"/>
      <c r="AT654" s="332"/>
      <c r="AU654" s="332"/>
      <c r="AV654" s="332"/>
      <c r="AW654" s="332"/>
      <c r="AX654" s="332"/>
      <c r="AY654" s="332"/>
      <c r="AZ654" s="332"/>
      <c r="BA654" s="332"/>
      <c r="BB654" s="332"/>
      <c r="BC654" s="332"/>
      <c r="BD654" s="332"/>
      <c r="BE654" s="333"/>
    </row>
    <row r="655" spans="2:58" x14ac:dyDescent="0.25">
      <c r="B655" s="331"/>
      <c r="C655" s="407" t="s">
        <v>69</v>
      </c>
      <c r="D655" s="332"/>
      <c r="E655" s="332"/>
      <c r="F655" s="332"/>
      <c r="G655" s="334">
        <f>SUM('II. Inputs, Baseline Energy Mix'!$R$46)</f>
        <v>0</v>
      </c>
      <c r="H655" s="332"/>
      <c r="I655" s="332"/>
      <c r="J655" s="332"/>
      <c r="K655" s="332"/>
      <c r="L655" s="332"/>
      <c r="M655" s="332"/>
      <c r="N655" s="332"/>
      <c r="O655" s="332"/>
      <c r="P655" s="332"/>
      <c r="Q655" s="332"/>
      <c r="R655" s="332"/>
      <c r="S655" s="332"/>
      <c r="T655" s="332"/>
      <c r="U655" s="332"/>
      <c r="V655" s="332"/>
      <c r="W655" s="332"/>
      <c r="X655" s="332"/>
      <c r="Y655" s="332"/>
      <c r="Z655" s="332"/>
      <c r="AA655" s="332"/>
      <c r="AB655" s="332"/>
      <c r="AC655" s="332"/>
      <c r="AD655" s="332"/>
      <c r="AE655" s="332"/>
      <c r="AF655" s="332"/>
      <c r="AG655" s="332"/>
      <c r="AH655" s="332"/>
      <c r="AI655" s="332"/>
      <c r="AJ655" s="332"/>
      <c r="AK655" s="332"/>
      <c r="AL655" s="332"/>
      <c r="AM655" s="332"/>
      <c r="AN655" s="332"/>
      <c r="AO655" s="332"/>
      <c r="AP655" s="332"/>
      <c r="AQ655" s="332"/>
      <c r="AR655" s="332"/>
      <c r="AS655" s="332"/>
      <c r="AT655" s="332"/>
      <c r="AU655" s="332"/>
      <c r="AV655" s="332"/>
      <c r="AW655" s="332"/>
      <c r="AX655" s="332"/>
      <c r="AY655" s="332"/>
      <c r="AZ655" s="332"/>
      <c r="BA655" s="332"/>
      <c r="BB655" s="332"/>
      <c r="BC655" s="332"/>
      <c r="BD655" s="332"/>
      <c r="BE655" s="333"/>
    </row>
    <row r="656" spans="2:58" x14ac:dyDescent="0.25">
      <c r="B656" s="331"/>
      <c r="C656" s="407" t="s">
        <v>70</v>
      </c>
      <c r="D656" s="332"/>
      <c r="E656" s="332"/>
      <c r="F656" s="332"/>
      <c r="G656" s="411">
        <f>SUM('II. Inputs, Baseline Energy Mix'!$R$41)</f>
        <v>8.5000000000000006E-2</v>
      </c>
      <c r="H656" s="332"/>
      <c r="I656" s="332"/>
      <c r="J656" s="332"/>
      <c r="K656" s="332"/>
      <c r="L656" s="332"/>
      <c r="M656" s="332"/>
      <c r="N656" s="332"/>
      <c r="O656" s="332"/>
      <c r="P656" s="332"/>
      <c r="Q656" s="332"/>
      <c r="R656" s="332"/>
      <c r="S656" s="332"/>
      <c r="T656" s="332"/>
      <c r="U656" s="332"/>
      <c r="V656" s="332"/>
      <c r="W656" s="332"/>
      <c r="X656" s="332"/>
      <c r="Y656" s="332"/>
      <c r="Z656" s="332"/>
      <c r="AA656" s="332"/>
      <c r="AB656" s="332"/>
      <c r="AC656" s="332"/>
      <c r="AD656" s="332"/>
      <c r="AE656" s="332"/>
      <c r="AF656" s="332"/>
      <c r="AG656" s="332"/>
      <c r="AH656" s="332"/>
      <c r="AI656" s="332"/>
      <c r="AJ656" s="332"/>
      <c r="AK656" s="332"/>
      <c r="AL656" s="332"/>
      <c r="AM656" s="332"/>
      <c r="AN656" s="332"/>
      <c r="AO656" s="332"/>
      <c r="AP656" s="332"/>
      <c r="AQ656" s="332"/>
      <c r="AR656" s="332"/>
      <c r="AS656" s="332"/>
      <c r="AT656" s="332"/>
      <c r="AU656" s="332"/>
      <c r="AV656" s="332"/>
      <c r="AW656" s="332"/>
      <c r="AX656" s="332"/>
      <c r="AY656" s="332"/>
      <c r="AZ656" s="332"/>
      <c r="BA656" s="332"/>
      <c r="BB656" s="332"/>
      <c r="BC656" s="332"/>
      <c r="BD656" s="332"/>
      <c r="BE656" s="333"/>
    </row>
    <row r="657" spans="2:58" x14ac:dyDescent="0.25">
      <c r="B657" s="331"/>
      <c r="C657" s="332"/>
      <c r="D657" s="332"/>
      <c r="E657" s="332"/>
      <c r="F657" s="332"/>
      <c r="G657" s="332"/>
      <c r="H657" s="332"/>
      <c r="I657" s="332"/>
      <c r="J657" s="332"/>
      <c r="K657" s="332"/>
      <c r="L657" s="332"/>
      <c r="M657" s="332"/>
      <c r="N657" s="332"/>
      <c r="O657" s="332"/>
      <c r="P657" s="332"/>
      <c r="Q657" s="332"/>
      <c r="R657" s="332"/>
      <c r="S657" s="332"/>
      <c r="T657" s="332"/>
      <c r="U657" s="332"/>
      <c r="V657" s="332"/>
      <c r="W657" s="332"/>
      <c r="X657" s="332"/>
      <c r="Y657" s="332"/>
      <c r="Z657" s="332"/>
      <c r="AA657" s="332"/>
      <c r="AB657" s="332"/>
      <c r="AC657" s="332"/>
      <c r="AD657" s="332"/>
      <c r="AE657" s="332"/>
      <c r="AF657" s="332"/>
      <c r="AG657" s="332"/>
      <c r="AH657" s="332"/>
      <c r="AI657" s="332"/>
      <c r="AJ657" s="332"/>
      <c r="AK657" s="332"/>
      <c r="AL657" s="332"/>
      <c r="AM657" s="332"/>
      <c r="AN657" s="332"/>
      <c r="AO657" s="332"/>
      <c r="AP657" s="332"/>
      <c r="AQ657" s="332"/>
      <c r="AR657" s="332"/>
      <c r="AS657" s="332"/>
      <c r="AT657" s="332"/>
      <c r="AU657" s="332"/>
      <c r="AV657" s="332"/>
      <c r="AW657" s="332"/>
      <c r="AX657" s="332"/>
      <c r="AY657" s="332"/>
      <c r="AZ657" s="332"/>
      <c r="BA657" s="332"/>
      <c r="BB657" s="332"/>
      <c r="BC657" s="332"/>
      <c r="BD657" s="332"/>
      <c r="BE657" s="333"/>
    </row>
    <row r="658" spans="2:58" x14ac:dyDescent="0.25">
      <c r="B658" s="331"/>
      <c r="C658" s="409" t="s">
        <v>67</v>
      </c>
      <c r="D658" s="332"/>
      <c r="E658" s="332"/>
      <c r="F658" s="332"/>
      <c r="G658" s="342"/>
      <c r="H658" s="342"/>
      <c r="I658" s="342"/>
      <c r="J658" s="342"/>
      <c r="K658" s="342"/>
      <c r="L658" s="342"/>
      <c r="M658" s="342"/>
      <c r="N658" s="342"/>
      <c r="O658" s="342"/>
      <c r="P658" s="342"/>
      <c r="Q658" s="342"/>
      <c r="R658" s="342"/>
      <c r="S658" s="342"/>
      <c r="T658" s="342"/>
      <c r="U658" s="342"/>
      <c r="V658" s="342"/>
      <c r="W658" s="342"/>
      <c r="X658" s="342"/>
      <c r="Y658" s="342"/>
      <c r="Z658" s="342"/>
      <c r="AA658" s="342"/>
      <c r="AB658" s="342"/>
      <c r="AC658" s="342"/>
      <c r="AD658" s="342"/>
      <c r="AE658" s="342"/>
      <c r="AF658" s="342"/>
      <c r="AG658" s="342"/>
      <c r="AH658" s="342"/>
      <c r="AI658" s="342"/>
      <c r="AJ658" s="342"/>
      <c r="AK658" s="342"/>
      <c r="AL658" s="342"/>
      <c r="AM658" s="342"/>
      <c r="AN658" s="342"/>
      <c r="AO658" s="342"/>
      <c r="AP658" s="342"/>
      <c r="AQ658" s="342"/>
      <c r="AR658" s="342"/>
      <c r="AS658" s="342"/>
      <c r="AT658" s="342"/>
      <c r="AU658" s="342"/>
      <c r="AV658" s="342"/>
      <c r="AW658" s="342"/>
      <c r="AX658" s="342"/>
      <c r="AY658" s="342"/>
      <c r="AZ658" s="342"/>
      <c r="BA658" s="342"/>
      <c r="BB658" s="342"/>
      <c r="BC658" s="342"/>
      <c r="BD658" s="342"/>
      <c r="BE658" s="1325"/>
      <c r="BF658" s="249"/>
    </row>
    <row r="659" spans="2:58" x14ac:dyDescent="0.25">
      <c r="B659" s="331"/>
      <c r="C659" s="332" t="s">
        <v>73</v>
      </c>
      <c r="D659" s="332"/>
      <c r="E659" s="332"/>
      <c r="F659" s="332"/>
      <c r="G659" s="342"/>
      <c r="H659" s="342">
        <f>IF(H$299&gt;$G655,0,IPMT($G656,H$299,$G655,-$G654))</f>
        <v>0</v>
      </c>
      <c r="I659" s="342">
        <f t="shared" ref="I659:BE659" si="217">IF(I$299&gt;$G655,0,IPMT($G656,I$299,$G655,-$G654))</f>
        <v>0</v>
      </c>
      <c r="J659" s="342">
        <f t="shared" si="217"/>
        <v>0</v>
      </c>
      <c r="K659" s="342">
        <f t="shared" si="217"/>
        <v>0</v>
      </c>
      <c r="L659" s="342">
        <f t="shared" si="217"/>
        <v>0</v>
      </c>
      <c r="M659" s="342">
        <f t="shared" si="217"/>
        <v>0</v>
      </c>
      <c r="N659" s="342">
        <f t="shared" si="217"/>
        <v>0</v>
      </c>
      <c r="O659" s="342">
        <f t="shared" si="217"/>
        <v>0</v>
      </c>
      <c r="P659" s="342">
        <f t="shared" si="217"/>
        <v>0</v>
      </c>
      <c r="Q659" s="342">
        <f t="shared" si="217"/>
        <v>0</v>
      </c>
      <c r="R659" s="342">
        <f t="shared" si="217"/>
        <v>0</v>
      </c>
      <c r="S659" s="342">
        <f t="shared" si="217"/>
        <v>0</v>
      </c>
      <c r="T659" s="342">
        <f t="shared" si="217"/>
        <v>0</v>
      </c>
      <c r="U659" s="342">
        <f t="shared" si="217"/>
        <v>0</v>
      </c>
      <c r="V659" s="342">
        <f t="shared" si="217"/>
        <v>0</v>
      </c>
      <c r="W659" s="342">
        <f t="shared" si="217"/>
        <v>0</v>
      </c>
      <c r="X659" s="342">
        <f t="shared" si="217"/>
        <v>0</v>
      </c>
      <c r="Y659" s="342">
        <f t="shared" si="217"/>
        <v>0</v>
      </c>
      <c r="Z659" s="342">
        <f t="shared" si="217"/>
        <v>0</v>
      </c>
      <c r="AA659" s="342">
        <f t="shared" si="217"/>
        <v>0</v>
      </c>
      <c r="AB659" s="342">
        <f t="shared" si="217"/>
        <v>0</v>
      </c>
      <c r="AC659" s="342">
        <f t="shared" si="217"/>
        <v>0</v>
      </c>
      <c r="AD659" s="342">
        <f t="shared" si="217"/>
        <v>0</v>
      </c>
      <c r="AE659" s="342">
        <f t="shared" si="217"/>
        <v>0</v>
      </c>
      <c r="AF659" s="342">
        <f t="shared" si="217"/>
        <v>0</v>
      </c>
      <c r="AG659" s="342">
        <f t="shared" si="217"/>
        <v>0</v>
      </c>
      <c r="AH659" s="342">
        <f t="shared" si="217"/>
        <v>0</v>
      </c>
      <c r="AI659" s="342">
        <f t="shared" si="217"/>
        <v>0</v>
      </c>
      <c r="AJ659" s="342">
        <f t="shared" si="217"/>
        <v>0</v>
      </c>
      <c r="AK659" s="342">
        <f t="shared" si="217"/>
        <v>0</v>
      </c>
      <c r="AL659" s="342">
        <f t="shared" si="217"/>
        <v>0</v>
      </c>
      <c r="AM659" s="342">
        <f t="shared" si="217"/>
        <v>0</v>
      </c>
      <c r="AN659" s="342">
        <f t="shared" si="217"/>
        <v>0</v>
      </c>
      <c r="AO659" s="342">
        <f t="shared" si="217"/>
        <v>0</v>
      </c>
      <c r="AP659" s="342">
        <f t="shared" si="217"/>
        <v>0</v>
      </c>
      <c r="AQ659" s="342">
        <f t="shared" si="217"/>
        <v>0</v>
      </c>
      <c r="AR659" s="342">
        <f t="shared" si="217"/>
        <v>0</v>
      </c>
      <c r="AS659" s="342">
        <f t="shared" si="217"/>
        <v>0</v>
      </c>
      <c r="AT659" s="342">
        <f t="shared" si="217"/>
        <v>0</v>
      </c>
      <c r="AU659" s="342">
        <f t="shared" si="217"/>
        <v>0</v>
      </c>
      <c r="AV659" s="342">
        <f t="shared" si="217"/>
        <v>0</v>
      </c>
      <c r="AW659" s="342">
        <f t="shared" si="217"/>
        <v>0</v>
      </c>
      <c r="AX659" s="342">
        <f t="shared" si="217"/>
        <v>0</v>
      </c>
      <c r="AY659" s="342">
        <f t="shared" si="217"/>
        <v>0</v>
      </c>
      <c r="AZ659" s="342">
        <f t="shared" si="217"/>
        <v>0</v>
      </c>
      <c r="BA659" s="342">
        <f t="shared" si="217"/>
        <v>0</v>
      </c>
      <c r="BB659" s="342">
        <f t="shared" si="217"/>
        <v>0</v>
      </c>
      <c r="BC659" s="342">
        <f t="shared" si="217"/>
        <v>0</v>
      </c>
      <c r="BD659" s="342">
        <f t="shared" si="217"/>
        <v>0</v>
      </c>
      <c r="BE659" s="1325">
        <f t="shared" si="217"/>
        <v>0</v>
      </c>
      <c r="BF659" s="249"/>
    </row>
    <row r="660" spans="2:58" x14ac:dyDescent="0.25">
      <c r="B660" s="331"/>
      <c r="C660" s="339" t="s">
        <v>72</v>
      </c>
      <c r="D660" s="339"/>
      <c r="E660" s="339"/>
      <c r="F660" s="339"/>
      <c r="G660" s="1326"/>
      <c r="H660" s="1326">
        <f>IF(H$299&gt;$G655,0,PPMT($G656,H$299,$G655,-$G654))</f>
        <v>0</v>
      </c>
      <c r="I660" s="1326">
        <f t="shared" ref="I660:BE660" si="218">IF(I$299&gt;$G655,0,PPMT($G656,I$299,$G655,-$G654))</f>
        <v>0</v>
      </c>
      <c r="J660" s="1326">
        <f t="shared" si="218"/>
        <v>0</v>
      </c>
      <c r="K660" s="1326">
        <f t="shared" si="218"/>
        <v>0</v>
      </c>
      <c r="L660" s="1326">
        <f t="shared" si="218"/>
        <v>0</v>
      </c>
      <c r="M660" s="1326">
        <f t="shared" si="218"/>
        <v>0</v>
      </c>
      <c r="N660" s="1326">
        <f t="shared" si="218"/>
        <v>0</v>
      </c>
      <c r="O660" s="1326">
        <f t="shared" si="218"/>
        <v>0</v>
      </c>
      <c r="P660" s="1326">
        <f t="shared" si="218"/>
        <v>0</v>
      </c>
      <c r="Q660" s="1326">
        <f t="shared" si="218"/>
        <v>0</v>
      </c>
      <c r="R660" s="1326">
        <f t="shared" si="218"/>
        <v>0</v>
      </c>
      <c r="S660" s="1326">
        <f t="shared" si="218"/>
        <v>0</v>
      </c>
      <c r="T660" s="1326">
        <f t="shared" si="218"/>
        <v>0</v>
      </c>
      <c r="U660" s="1326">
        <f t="shared" si="218"/>
        <v>0</v>
      </c>
      <c r="V660" s="1326">
        <f t="shared" si="218"/>
        <v>0</v>
      </c>
      <c r="W660" s="1326">
        <f t="shared" si="218"/>
        <v>0</v>
      </c>
      <c r="X660" s="1326">
        <f t="shared" si="218"/>
        <v>0</v>
      </c>
      <c r="Y660" s="1326">
        <f t="shared" si="218"/>
        <v>0</v>
      </c>
      <c r="Z660" s="1326">
        <f t="shared" si="218"/>
        <v>0</v>
      </c>
      <c r="AA660" s="1326">
        <f t="shared" si="218"/>
        <v>0</v>
      </c>
      <c r="AB660" s="1326">
        <f t="shared" si="218"/>
        <v>0</v>
      </c>
      <c r="AC660" s="1326">
        <f t="shared" si="218"/>
        <v>0</v>
      </c>
      <c r="AD660" s="1326">
        <f t="shared" si="218"/>
        <v>0</v>
      </c>
      <c r="AE660" s="1326">
        <f t="shared" si="218"/>
        <v>0</v>
      </c>
      <c r="AF660" s="1326">
        <f t="shared" si="218"/>
        <v>0</v>
      </c>
      <c r="AG660" s="1326">
        <f t="shared" si="218"/>
        <v>0</v>
      </c>
      <c r="AH660" s="1326">
        <f t="shared" si="218"/>
        <v>0</v>
      </c>
      <c r="AI660" s="1326">
        <f t="shared" si="218"/>
        <v>0</v>
      </c>
      <c r="AJ660" s="1326">
        <f t="shared" si="218"/>
        <v>0</v>
      </c>
      <c r="AK660" s="1326">
        <f t="shared" si="218"/>
        <v>0</v>
      </c>
      <c r="AL660" s="1326">
        <f t="shared" si="218"/>
        <v>0</v>
      </c>
      <c r="AM660" s="1326">
        <f t="shared" si="218"/>
        <v>0</v>
      </c>
      <c r="AN660" s="1326">
        <f t="shared" si="218"/>
        <v>0</v>
      </c>
      <c r="AO660" s="1326">
        <f t="shared" si="218"/>
        <v>0</v>
      </c>
      <c r="AP660" s="1326">
        <f t="shared" si="218"/>
        <v>0</v>
      </c>
      <c r="AQ660" s="1326">
        <f t="shared" si="218"/>
        <v>0</v>
      </c>
      <c r="AR660" s="1326">
        <f t="shared" si="218"/>
        <v>0</v>
      </c>
      <c r="AS660" s="1326">
        <f t="shared" si="218"/>
        <v>0</v>
      </c>
      <c r="AT660" s="1326">
        <f t="shared" si="218"/>
        <v>0</v>
      </c>
      <c r="AU660" s="1326">
        <f t="shared" si="218"/>
        <v>0</v>
      </c>
      <c r="AV660" s="1326">
        <f t="shared" si="218"/>
        <v>0</v>
      </c>
      <c r="AW660" s="1326">
        <f t="shared" si="218"/>
        <v>0</v>
      </c>
      <c r="AX660" s="1326">
        <f t="shared" si="218"/>
        <v>0</v>
      </c>
      <c r="AY660" s="1326">
        <f t="shared" si="218"/>
        <v>0</v>
      </c>
      <c r="AZ660" s="1326">
        <f t="shared" si="218"/>
        <v>0</v>
      </c>
      <c r="BA660" s="1326">
        <f t="shared" si="218"/>
        <v>0</v>
      </c>
      <c r="BB660" s="1326">
        <f t="shared" si="218"/>
        <v>0</v>
      </c>
      <c r="BC660" s="1326">
        <f t="shared" si="218"/>
        <v>0</v>
      </c>
      <c r="BD660" s="1326">
        <f t="shared" si="218"/>
        <v>0</v>
      </c>
      <c r="BE660" s="1327">
        <f t="shared" si="218"/>
        <v>0</v>
      </c>
      <c r="BF660" s="249"/>
    </row>
    <row r="661" spans="2:58" x14ac:dyDescent="0.25">
      <c r="B661" s="331"/>
      <c r="C661" s="332" t="s">
        <v>74</v>
      </c>
      <c r="D661" s="332"/>
      <c r="E661" s="332"/>
      <c r="F661" s="332"/>
      <c r="G661" s="342"/>
      <c r="H661" s="342">
        <f>SUM(H659:H660)</f>
        <v>0</v>
      </c>
      <c r="I661" s="342">
        <f t="shared" ref="I661:BE661" si="219">SUM(I659:I660)</f>
        <v>0</v>
      </c>
      <c r="J661" s="342">
        <f t="shared" si="219"/>
        <v>0</v>
      </c>
      <c r="K661" s="342">
        <f t="shared" si="219"/>
        <v>0</v>
      </c>
      <c r="L661" s="342">
        <f t="shared" si="219"/>
        <v>0</v>
      </c>
      <c r="M661" s="342">
        <f t="shared" si="219"/>
        <v>0</v>
      </c>
      <c r="N661" s="342">
        <f t="shared" si="219"/>
        <v>0</v>
      </c>
      <c r="O661" s="342">
        <f t="shared" si="219"/>
        <v>0</v>
      </c>
      <c r="P661" s="342">
        <f t="shared" si="219"/>
        <v>0</v>
      </c>
      <c r="Q661" s="342">
        <f t="shared" si="219"/>
        <v>0</v>
      </c>
      <c r="R661" s="342">
        <f t="shared" si="219"/>
        <v>0</v>
      </c>
      <c r="S661" s="342">
        <f t="shared" si="219"/>
        <v>0</v>
      </c>
      <c r="T661" s="342">
        <f t="shared" si="219"/>
        <v>0</v>
      </c>
      <c r="U661" s="342">
        <f t="shared" si="219"/>
        <v>0</v>
      </c>
      <c r="V661" s="342">
        <f t="shared" si="219"/>
        <v>0</v>
      </c>
      <c r="W661" s="342">
        <f t="shared" si="219"/>
        <v>0</v>
      </c>
      <c r="X661" s="342">
        <f t="shared" si="219"/>
        <v>0</v>
      </c>
      <c r="Y661" s="342">
        <f t="shared" si="219"/>
        <v>0</v>
      </c>
      <c r="Z661" s="342">
        <f t="shared" si="219"/>
        <v>0</v>
      </c>
      <c r="AA661" s="342">
        <f t="shared" si="219"/>
        <v>0</v>
      </c>
      <c r="AB661" s="342">
        <f t="shared" si="219"/>
        <v>0</v>
      </c>
      <c r="AC661" s="342">
        <f t="shared" si="219"/>
        <v>0</v>
      </c>
      <c r="AD661" s="342">
        <f t="shared" si="219"/>
        <v>0</v>
      </c>
      <c r="AE661" s="342">
        <f t="shared" si="219"/>
        <v>0</v>
      </c>
      <c r="AF661" s="342">
        <f t="shared" si="219"/>
        <v>0</v>
      </c>
      <c r="AG661" s="342">
        <f t="shared" si="219"/>
        <v>0</v>
      </c>
      <c r="AH661" s="342">
        <f t="shared" si="219"/>
        <v>0</v>
      </c>
      <c r="AI661" s="342">
        <f t="shared" si="219"/>
        <v>0</v>
      </c>
      <c r="AJ661" s="342">
        <f t="shared" si="219"/>
        <v>0</v>
      </c>
      <c r="AK661" s="342">
        <f t="shared" si="219"/>
        <v>0</v>
      </c>
      <c r="AL661" s="342">
        <f t="shared" si="219"/>
        <v>0</v>
      </c>
      <c r="AM661" s="342">
        <f t="shared" si="219"/>
        <v>0</v>
      </c>
      <c r="AN661" s="342">
        <f t="shared" si="219"/>
        <v>0</v>
      </c>
      <c r="AO661" s="342">
        <f t="shared" si="219"/>
        <v>0</v>
      </c>
      <c r="AP661" s="342">
        <f t="shared" si="219"/>
        <v>0</v>
      </c>
      <c r="AQ661" s="342">
        <f t="shared" si="219"/>
        <v>0</v>
      </c>
      <c r="AR661" s="342">
        <f t="shared" si="219"/>
        <v>0</v>
      </c>
      <c r="AS661" s="342">
        <f t="shared" si="219"/>
        <v>0</v>
      </c>
      <c r="AT661" s="342">
        <f t="shared" si="219"/>
        <v>0</v>
      </c>
      <c r="AU661" s="342">
        <f t="shared" si="219"/>
        <v>0</v>
      </c>
      <c r="AV661" s="342">
        <f t="shared" si="219"/>
        <v>0</v>
      </c>
      <c r="AW661" s="342">
        <f t="shared" si="219"/>
        <v>0</v>
      </c>
      <c r="AX661" s="342">
        <f t="shared" si="219"/>
        <v>0</v>
      </c>
      <c r="AY661" s="342">
        <f t="shared" si="219"/>
        <v>0</v>
      </c>
      <c r="AZ661" s="342">
        <f t="shared" si="219"/>
        <v>0</v>
      </c>
      <c r="BA661" s="342">
        <f t="shared" si="219"/>
        <v>0</v>
      </c>
      <c r="BB661" s="342">
        <f t="shared" si="219"/>
        <v>0</v>
      </c>
      <c r="BC661" s="342">
        <f t="shared" si="219"/>
        <v>0</v>
      </c>
      <c r="BD661" s="342">
        <f t="shared" si="219"/>
        <v>0</v>
      </c>
      <c r="BE661" s="1325">
        <f t="shared" si="219"/>
        <v>0</v>
      </c>
      <c r="BF661" s="249"/>
    </row>
    <row r="662" spans="2:58" x14ac:dyDescent="0.25">
      <c r="B662" s="331"/>
      <c r="C662" s="332"/>
      <c r="D662" s="332"/>
      <c r="E662" s="332"/>
      <c r="F662" s="332"/>
      <c r="G662" s="342"/>
      <c r="H662" s="342"/>
      <c r="I662" s="342"/>
      <c r="J662" s="342"/>
      <c r="K662" s="342"/>
      <c r="L662" s="342"/>
      <c r="M662" s="342"/>
      <c r="N662" s="342"/>
      <c r="O662" s="342"/>
      <c r="P662" s="342"/>
      <c r="Q662" s="342"/>
      <c r="R662" s="342"/>
      <c r="S662" s="342"/>
      <c r="T662" s="342"/>
      <c r="U662" s="342"/>
      <c r="V662" s="342"/>
      <c r="W662" s="342"/>
      <c r="X662" s="342"/>
      <c r="Y662" s="342"/>
      <c r="Z662" s="342"/>
      <c r="AA662" s="342"/>
      <c r="AB662" s="342"/>
      <c r="AC662" s="342"/>
      <c r="AD662" s="342"/>
      <c r="AE662" s="342"/>
      <c r="AF662" s="342"/>
      <c r="AG662" s="342"/>
      <c r="AH662" s="342"/>
      <c r="AI662" s="342"/>
      <c r="AJ662" s="342"/>
      <c r="AK662" s="342"/>
      <c r="AL662" s="342"/>
      <c r="AM662" s="342"/>
      <c r="AN662" s="342"/>
      <c r="AO662" s="342"/>
      <c r="AP662" s="342"/>
      <c r="AQ662" s="342"/>
      <c r="AR662" s="342"/>
      <c r="AS662" s="342"/>
      <c r="AT662" s="342"/>
      <c r="AU662" s="342"/>
      <c r="AV662" s="342"/>
      <c r="AW662" s="342"/>
      <c r="AX662" s="342"/>
      <c r="AY662" s="342"/>
      <c r="AZ662" s="342"/>
      <c r="BA662" s="342"/>
      <c r="BB662" s="342"/>
      <c r="BC662" s="342"/>
      <c r="BD662" s="342"/>
      <c r="BE662" s="1325"/>
      <c r="BF662" s="249"/>
    </row>
    <row r="663" spans="2:58" x14ac:dyDescent="0.25">
      <c r="B663" s="331"/>
      <c r="C663" s="410" t="s">
        <v>65</v>
      </c>
      <c r="D663" s="332"/>
      <c r="E663" s="332"/>
      <c r="F663" s="332"/>
      <c r="G663" s="342"/>
      <c r="H663" s="342"/>
      <c r="I663" s="342"/>
      <c r="J663" s="342"/>
      <c r="K663" s="342"/>
      <c r="L663" s="342"/>
      <c r="M663" s="342"/>
      <c r="N663" s="342"/>
      <c r="O663" s="342"/>
      <c r="P663" s="342"/>
      <c r="Q663" s="342"/>
      <c r="R663" s="342"/>
      <c r="S663" s="342"/>
      <c r="T663" s="342"/>
      <c r="U663" s="342"/>
      <c r="V663" s="342"/>
      <c r="W663" s="342"/>
      <c r="X663" s="342"/>
      <c r="Y663" s="342"/>
      <c r="Z663" s="342"/>
      <c r="AA663" s="342"/>
      <c r="AB663" s="342"/>
      <c r="AC663" s="342"/>
      <c r="AD663" s="342"/>
      <c r="AE663" s="342"/>
      <c r="AF663" s="342"/>
      <c r="AG663" s="342"/>
      <c r="AH663" s="342"/>
      <c r="AI663" s="342"/>
      <c r="AJ663" s="342"/>
      <c r="AK663" s="342"/>
      <c r="AL663" s="342"/>
      <c r="AM663" s="342"/>
      <c r="AN663" s="342"/>
      <c r="AO663" s="342"/>
      <c r="AP663" s="342"/>
      <c r="AQ663" s="342"/>
      <c r="AR663" s="342"/>
      <c r="AS663" s="342"/>
      <c r="AT663" s="342"/>
      <c r="AU663" s="342"/>
      <c r="AV663" s="342"/>
      <c r="AW663" s="342"/>
      <c r="AX663" s="342"/>
      <c r="AY663" s="342"/>
      <c r="AZ663" s="342"/>
      <c r="BA663" s="342"/>
      <c r="BB663" s="342"/>
      <c r="BC663" s="342"/>
      <c r="BD663" s="342"/>
      <c r="BE663" s="1325"/>
      <c r="BF663" s="249"/>
    </row>
    <row r="664" spans="2:58" x14ac:dyDescent="0.25">
      <c r="B664" s="331"/>
      <c r="C664" s="332" t="s">
        <v>75</v>
      </c>
      <c r="D664" s="332"/>
      <c r="E664" s="332"/>
      <c r="F664" s="332"/>
      <c r="G664" s="342">
        <v>0</v>
      </c>
      <c r="H664" s="342">
        <f t="shared" ref="H664:AM664" si="220">G667</f>
        <v>0</v>
      </c>
      <c r="I664" s="342">
        <f t="shared" si="220"/>
        <v>0</v>
      </c>
      <c r="J664" s="342">
        <f t="shared" si="220"/>
        <v>0</v>
      </c>
      <c r="K664" s="342">
        <f t="shared" si="220"/>
        <v>0</v>
      </c>
      <c r="L664" s="342">
        <f t="shared" si="220"/>
        <v>0</v>
      </c>
      <c r="M664" s="342">
        <f t="shared" si="220"/>
        <v>0</v>
      </c>
      <c r="N664" s="342">
        <f t="shared" si="220"/>
        <v>0</v>
      </c>
      <c r="O664" s="342">
        <f t="shared" si="220"/>
        <v>0</v>
      </c>
      <c r="P664" s="342">
        <f t="shared" si="220"/>
        <v>0</v>
      </c>
      <c r="Q664" s="342">
        <f t="shared" si="220"/>
        <v>0</v>
      </c>
      <c r="R664" s="342">
        <f t="shared" si="220"/>
        <v>0</v>
      </c>
      <c r="S664" s="342">
        <f t="shared" si="220"/>
        <v>0</v>
      </c>
      <c r="T664" s="342">
        <f t="shared" si="220"/>
        <v>0</v>
      </c>
      <c r="U664" s="342">
        <f t="shared" si="220"/>
        <v>0</v>
      </c>
      <c r="V664" s="342">
        <f t="shared" si="220"/>
        <v>0</v>
      </c>
      <c r="W664" s="342">
        <f t="shared" si="220"/>
        <v>0</v>
      </c>
      <c r="X664" s="342">
        <f t="shared" si="220"/>
        <v>0</v>
      </c>
      <c r="Y664" s="342">
        <f t="shared" si="220"/>
        <v>0</v>
      </c>
      <c r="Z664" s="342">
        <f t="shared" si="220"/>
        <v>0</v>
      </c>
      <c r="AA664" s="342">
        <f t="shared" si="220"/>
        <v>0</v>
      </c>
      <c r="AB664" s="342">
        <f t="shared" si="220"/>
        <v>0</v>
      </c>
      <c r="AC664" s="342">
        <f t="shared" si="220"/>
        <v>0</v>
      </c>
      <c r="AD664" s="342">
        <f t="shared" si="220"/>
        <v>0</v>
      </c>
      <c r="AE664" s="342">
        <f t="shared" si="220"/>
        <v>0</v>
      </c>
      <c r="AF664" s="342">
        <f t="shared" si="220"/>
        <v>0</v>
      </c>
      <c r="AG664" s="342">
        <f t="shared" si="220"/>
        <v>0</v>
      </c>
      <c r="AH664" s="342">
        <f t="shared" si="220"/>
        <v>0</v>
      </c>
      <c r="AI664" s="342">
        <f t="shared" si="220"/>
        <v>0</v>
      </c>
      <c r="AJ664" s="342">
        <f t="shared" si="220"/>
        <v>0</v>
      </c>
      <c r="AK664" s="342">
        <f t="shared" si="220"/>
        <v>0</v>
      </c>
      <c r="AL664" s="342">
        <f t="shared" si="220"/>
        <v>0</v>
      </c>
      <c r="AM664" s="342">
        <f t="shared" si="220"/>
        <v>0</v>
      </c>
      <c r="AN664" s="342">
        <f t="shared" ref="AN664:BE664" si="221">AM667</f>
        <v>0</v>
      </c>
      <c r="AO664" s="342">
        <f t="shared" si="221"/>
        <v>0</v>
      </c>
      <c r="AP664" s="342">
        <f t="shared" si="221"/>
        <v>0</v>
      </c>
      <c r="AQ664" s="342">
        <f t="shared" si="221"/>
        <v>0</v>
      </c>
      <c r="AR664" s="342">
        <f t="shared" si="221"/>
        <v>0</v>
      </c>
      <c r="AS664" s="342">
        <f t="shared" si="221"/>
        <v>0</v>
      </c>
      <c r="AT664" s="342">
        <f t="shared" si="221"/>
        <v>0</v>
      </c>
      <c r="AU664" s="342">
        <f t="shared" si="221"/>
        <v>0</v>
      </c>
      <c r="AV664" s="342">
        <f t="shared" si="221"/>
        <v>0</v>
      </c>
      <c r="AW664" s="342">
        <f t="shared" si="221"/>
        <v>0</v>
      </c>
      <c r="AX664" s="342">
        <f t="shared" si="221"/>
        <v>0</v>
      </c>
      <c r="AY664" s="342">
        <f t="shared" si="221"/>
        <v>0</v>
      </c>
      <c r="AZ664" s="342">
        <f t="shared" si="221"/>
        <v>0</v>
      </c>
      <c r="BA664" s="342">
        <f t="shared" si="221"/>
        <v>0</v>
      </c>
      <c r="BB664" s="342">
        <f t="shared" si="221"/>
        <v>0</v>
      </c>
      <c r="BC664" s="342">
        <f t="shared" si="221"/>
        <v>0</v>
      </c>
      <c r="BD664" s="342">
        <f t="shared" si="221"/>
        <v>0</v>
      </c>
      <c r="BE664" s="1325">
        <f t="shared" si="221"/>
        <v>0</v>
      </c>
      <c r="BF664" s="249"/>
    </row>
    <row r="665" spans="2:58" x14ac:dyDescent="0.25">
      <c r="B665" s="331"/>
      <c r="C665" s="332" t="s">
        <v>76</v>
      </c>
      <c r="D665" s="332"/>
      <c r="E665" s="332"/>
      <c r="F665" s="332"/>
      <c r="G665" s="342">
        <f>G654</f>
        <v>0</v>
      </c>
      <c r="H665" s="342">
        <v>0</v>
      </c>
      <c r="I665" s="342">
        <v>0</v>
      </c>
      <c r="J665" s="342">
        <v>0</v>
      </c>
      <c r="K665" s="342">
        <v>0</v>
      </c>
      <c r="L665" s="342">
        <v>0</v>
      </c>
      <c r="M665" s="342">
        <v>0</v>
      </c>
      <c r="N665" s="342">
        <v>0</v>
      </c>
      <c r="O665" s="342">
        <v>0</v>
      </c>
      <c r="P665" s="342">
        <v>0</v>
      </c>
      <c r="Q665" s="342">
        <v>0</v>
      </c>
      <c r="R665" s="342">
        <v>0</v>
      </c>
      <c r="S665" s="342">
        <v>0</v>
      </c>
      <c r="T665" s="342">
        <v>0</v>
      </c>
      <c r="U665" s="342">
        <v>0</v>
      </c>
      <c r="V665" s="342">
        <v>0</v>
      </c>
      <c r="W665" s="342">
        <v>0</v>
      </c>
      <c r="X665" s="342">
        <v>0</v>
      </c>
      <c r="Y665" s="342">
        <v>0</v>
      </c>
      <c r="Z665" s="342">
        <v>0</v>
      </c>
      <c r="AA665" s="342">
        <v>0</v>
      </c>
      <c r="AB665" s="342">
        <v>0</v>
      </c>
      <c r="AC665" s="342">
        <v>0</v>
      </c>
      <c r="AD665" s="342">
        <v>0</v>
      </c>
      <c r="AE665" s="342">
        <v>0</v>
      </c>
      <c r="AF665" s="342">
        <v>0</v>
      </c>
      <c r="AG665" s="342">
        <v>0</v>
      </c>
      <c r="AH665" s="342">
        <v>0</v>
      </c>
      <c r="AI665" s="342">
        <v>0</v>
      </c>
      <c r="AJ665" s="342">
        <v>0</v>
      </c>
      <c r="AK665" s="342">
        <v>0</v>
      </c>
      <c r="AL665" s="342">
        <v>0</v>
      </c>
      <c r="AM665" s="342">
        <v>0</v>
      </c>
      <c r="AN665" s="342">
        <v>0</v>
      </c>
      <c r="AO665" s="342">
        <v>0</v>
      </c>
      <c r="AP665" s="342">
        <v>0</v>
      </c>
      <c r="AQ665" s="342">
        <v>0</v>
      </c>
      <c r="AR665" s="342">
        <v>0</v>
      </c>
      <c r="AS665" s="342">
        <v>0</v>
      </c>
      <c r="AT665" s="342">
        <v>0</v>
      </c>
      <c r="AU665" s="342">
        <v>0</v>
      </c>
      <c r="AV665" s="342">
        <v>0</v>
      </c>
      <c r="AW665" s="342">
        <v>0</v>
      </c>
      <c r="AX665" s="342">
        <v>0</v>
      </c>
      <c r="AY665" s="342">
        <v>0</v>
      </c>
      <c r="AZ665" s="342">
        <v>0</v>
      </c>
      <c r="BA665" s="342">
        <v>0</v>
      </c>
      <c r="BB665" s="342">
        <v>0</v>
      </c>
      <c r="BC665" s="342">
        <v>0</v>
      </c>
      <c r="BD665" s="342">
        <v>0</v>
      </c>
      <c r="BE665" s="1325">
        <v>0</v>
      </c>
      <c r="BF665" s="249"/>
    </row>
    <row r="666" spans="2:58" x14ac:dyDescent="0.25">
      <c r="B666" s="331"/>
      <c r="C666" s="339" t="s">
        <v>77</v>
      </c>
      <c r="D666" s="339"/>
      <c r="E666" s="339"/>
      <c r="F666" s="339"/>
      <c r="G666" s="1326">
        <v>0</v>
      </c>
      <c r="H666" s="1326">
        <f>-H660</f>
        <v>0</v>
      </c>
      <c r="I666" s="1326">
        <f t="shared" ref="I666:BE666" si="222">-I660</f>
        <v>0</v>
      </c>
      <c r="J666" s="1326">
        <f t="shared" si="222"/>
        <v>0</v>
      </c>
      <c r="K666" s="1326">
        <f t="shared" si="222"/>
        <v>0</v>
      </c>
      <c r="L666" s="1326">
        <f t="shared" si="222"/>
        <v>0</v>
      </c>
      <c r="M666" s="1326">
        <f t="shared" si="222"/>
        <v>0</v>
      </c>
      <c r="N666" s="1326">
        <f t="shared" si="222"/>
        <v>0</v>
      </c>
      <c r="O666" s="1326">
        <f t="shared" si="222"/>
        <v>0</v>
      </c>
      <c r="P666" s="1326">
        <f t="shared" si="222"/>
        <v>0</v>
      </c>
      <c r="Q666" s="1326">
        <f t="shared" si="222"/>
        <v>0</v>
      </c>
      <c r="R666" s="1326">
        <f t="shared" si="222"/>
        <v>0</v>
      </c>
      <c r="S666" s="1326">
        <f t="shared" si="222"/>
        <v>0</v>
      </c>
      <c r="T666" s="1326">
        <f t="shared" si="222"/>
        <v>0</v>
      </c>
      <c r="U666" s="1326">
        <f t="shared" si="222"/>
        <v>0</v>
      </c>
      <c r="V666" s="1326">
        <f t="shared" si="222"/>
        <v>0</v>
      </c>
      <c r="W666" s="1326">
        <f t="shared" si="222"/>
        <v>0</v>
      </c>
      <c r="X666" s="1326">
        <f t="shared" si="222"/>
        <v>0</v>
      </c>
      <c r="Y666" s="1326">
        <f t="shared" si="222"/>
        <v>0</v>
      </c>
      <c r="Z666" s="1326">
        <f t="shared" si="222"/>
        <v>0</v>
      </c>
      <c r="AA666" s="1326">
        <f t="shared" si="222"/>
        <v>0</v>
      </c>
      <c r="AB666" s="1326">
        <f t="shared" si="222"/>
        <v>0</v>
      </c>
      <c r="AC666" s="1326">
        <f t="shared" si="222"/>
        <v>0</v>
      </c>
      <c r="AD666" s="1326">
        <f t="shared" si="222"/>
        <v>0</v>
      </c>
      <c r="AE666" s="1326">
        <f t="shared" si="222"/>
        <v>0</v>
      </c>
      <c r="AF666" s="1326">
        <f t="shared" si="222"/>
        <v>0</v>
      </c>
      <c r="AG666" s="1326">
        <f t="shared" si="222"/>
        <v>0</v>
      </c>
      <c r="AH666" s="1326">
        <f t="shared" si="222"/>
        <v>0</v>
      </c>
      <c r="AI666" s="1326">
        <f t="shared" si="222"/>
        <v>0</v>
      </c>
      <c r="AJ666" s="1326">
        <f t="shared" si="222"/>
        <v>0</v>
      </c>
      <c r="AK666" s="1326">
        <f t="shared" si="222"/>
        <v>0</v>
      </c>
      <c r="AL666" s="1326">
        <f t="shared" si="222"/>
        <v>0</v>
      </c>
      <c r="AM666" s="1326">
        <f t="shared" si="222"/>
        <v>0</v>
      </c>
      <c r="AN666" s="1326">
        <f t="shared" si="222"/>
        <v>0</v>
      </c>
      <c r="AO666" s="1326">
        <f t="shared" si="222"/>
        <v>0</v>
      </c>
      <c r="AP666" s="1326">
        <f t="shared" si="222"/>
        <v>0</v>
      </c>
      <c r="AQ666" s="1326">
        <f t="shared" si="222"/>
        <v>0</v>
      </c>
      <c r="AR666" s="1326">
        <f t="shared" si="222"/>
        <v>0</v>
      </c>
      <c r="AS666" s="1326">
        <f t="shared" si="222"/>
        <v>0</v>
      </c>
      <c r="AT666" s="1326">
        <f t="shared" si="222"/>
        <v>0</v>
      </c>
      <c r="AU666" s="1326">
        <f t="shared" si="222"/>
        <v>0</v>
      </c>
      <c r="AV666" s="1326">
        <f t="shared" si="222"/>
        <v>0</v>
      </c>
      <c r="AW666" s="1326">
        <f t="shared" si="222"/>
        <v>0</v>
      </c>
      <c r="AX666" s="1326">
        <f t="shared" si="222"/>
        <v>0</v>
      </c>
      <c r="AY666" s="1326">
        <f t="shared" si="222"/>
        <v>0</v>
      </c>
      <c r="AZ666" s="1326">
        <f t="shared" si="222"/>
        <v>0</v>
      </c>
      <c r="BA666" s="1326">
        <f t="shared" si="222"/>
        <v>0</v>
      </c>
      <c r="BB666" s="1326">
        <f t="shared" si="222"/>
        <v>0</v>
      </c>
      <c r="BC666" s="1326">
        <f t="shared" si="222"/>
        <v>0</v>
      </c>
      <c r="BD666" s="1326">
        <f t="shared" si="222"/>
        <v>0</v>
      </c>
      <c r="BE666" s="1327">
        <f t="shared" si="222"/>
        <v>0</v>
      </c>
      <c r="BF666" s="249"/>
    </row>
    <row r="667" spans="2:58" x14ac:dyDescent="0.25">
      <c r="B667" s="331"/>
      <c r="C667" s="332" t="s">
        <v>66</v>
      </c>
      <c r="D667" s="332"/>
      <c r="E667" s="332"/>
      <c r="F667" s="332"/>
      <c r="G667" s="342">
        <f>SUM(G664:G666)</f>
        <v>0</v>
      </c>
      <c r="H667" s="342">
        <f>SUM(H664:H666)</f>
        <v>0</v>
      </c>
      <c r="I667" s="342">
        <f t="shared" ref="I667:BE667" si="223">SUM(I664:I666)</f>
        <v>0</v>
      </c>
      <c r="J667" s="342">
        <f t="shared" si="223"/>
        <v>0</v>
      </c>
      <c r="K667" s="342">
        <f t="shared" si="223"/>
        <v>0</v>
      </c>
      <c r="L667" s="342">
        <f t="shared" si="223"/>
        <v>0</v>
      </c>
      <c r="M667" s="342">
        <f t="shared" si="223"/>
        <v>0</v>
      </c>
      <c r="N667" s="342">
        <f t="shared" si="223"/>
        <v>0</v>
      </c>
      <c r="O667" s="342">
        <f t="shared" si="223"/>
        <v>0</v>
      </c>
      <c r="P667" s="342">
        <f t="shared" si="223"/>
        <v>0</v>
      </c>
      <c r="Q667" s="342">
        <f t="shared" si="223"/>
        <v>0</v>
      </c>
      <c r="R667" s="342">
        <f t="shared" si="223"/>
        <v>0</v>
      </c>
      <c r="S667" s="342">
        <f t="shared" si="223"/>
        <v>0</v>
      </c>
      <c r="T667" s="342">
        <f t="shared" si="223"/>
        <v>0</v>
      </c>
      <c r="U667" s="342">
        <f t="shared" si="223"/>
        <v>0</v>
      </c>
      <c r="V667" s="342">
        <f t="shared" si="223"/>
        <v>0</v>
      </c>
      <c r="W667" s="342">
        <f t="shared" si="223"/>
        <v>0</v>
      </c>
      <c r="X667" s="342">
        <f t="shared" si="223"/>
        <v>0</v>
      </c>
      <c r="Y667" s="342">
        <f t="shared" si="223"/>
        <v>0</v>
      </c>
      <c r="Z667" s="342">
        <f t="shared" si="223"/>
        <v>0</v>
      </c>
      <c r="AA667" s="342">
        <f t="shared" si="223"/>
        <v>0</v>
      </c>
      <c r="AB667" s="342">
        <f t="shared" si="223"/>
        <v>0</v>
      </c>
      <c r="AC667" s="342">
        <f t="shared" si="223"/>
        <v>0</v>
      </c>
      <c r="AD667" s="342">
        <f t="shared" si="223"/>
        <v>0</v>
      </c>
      <c r="AE667" s="342">
        <f t="shared" si="223"/>
        <v>0</v>
      </c>
      <c r="AF667" s="342">
        <f t="shared" si="223"/>
        <v>0</v>
      </c>
      <c r="AG667" s="342">
        <f t="shared" si="223"/>
        <v>0</v>
      </c>
      <c r="AH667" s="342">
        <f t="shared" si="223"/>
        <v>0</v>
      </c>
      <c r="AI667" s="342">
        <f t="shared" si="223"/>
        <v>0</v>
      </c>
      <c r="AJ667" s="342">
        <f t="shared" si="223"/>
        <v>0</v>
      </c>
      <c r="AK667" s="342">
        <f t="shared" si="223"/>
        <v>0</v>
      </c>
      <c r="AL667" s="342">
        <f t="shared" si="223"/>
        <v>0</v>
      </c>
      <c r="AM667" s="342">
        <f t="shared" si="223"/>
        <v>0</v>
      </c>
      <c r="AN667" s="342">
        <f t="shared" si="223"/>
        <v>0</v>
      </c>
      <c r="AO667" s="342">
        <f t="shared" si="223"/>
        <v>0</v>
      </c>
      <c r="AP667" s="342">
        <f t="shared" si="223"/>
        <v>0</v>
      </c>
      <c r="AQ667" s="342">
        <f t="shared" si="223"/>
        <v>0</v>
      </c>
      <c r="AR667" s="342">
        <f t="shared" si="223"/>
        <v>0</v>
      </c>
      <c r="AS667" s="342">
        <f t="shared" si="223"/>
        <v>0</v>
      </c>
      <c r="AT667" s="342">
        <f t="shared" si="223"/>
        <v>0</v>
      </c>
      <c r="AU667" s="342">
        <f t="shared" si="223"/>
        <v>0</v>
      </c>
      <c r="AV667" s="342">
        <f t="shared" si="223"/>
        <v>0</v>
      </c>
      <c r="AW667" s="342">
        <f t="shared" si="223"/>
        <v>0</v>
      </c>
      <c r="AX667" s="342">
        <f t="shared" si="223"/>
        <v>0</v>
      </c>
      <c r="AY667" s="342">
        <f t="shared" si="223"/>
        <v>0</v>
      </c>
      <c r="AZ667" s="342">
        <f t="shared" si="223"/>
        <v>0</v>
      </c>
      <c r="BA667" s="342">
        <f t="shared" si="223"/>
        <v>0</v>
      </c>
      <c r="BB667" s="342">
        <f t="shared" si="223"/>
        <v>0</v>
      </c>
      <c r="BC667" s="342">
        <f t="shared" si="223"/>
        <v>0</v>
      </c>
      <c r="BD667" s="342">
        <f t="shared" si="223"/>
        <v>0</v>
      </c>
      <c r="BE667" s="1325">
        <f t="shared" si="223"/>
        <v>0</v>
      </c>
      <c r="BF667" s="249"/>
    </row>
    <row r="668" spans="2:58" x14ac:dyDescent="0.25">
      <c r="B668" s="331"/>
      <c r="C668" s="332"/>
      <c r="D668" s="332"/>
      <c r="E668" s="332"/>
      <c r="F668" s="332"/>
      <c r="G668" s="342"/>
      <c r="H668" s="342"/>
      <c r="I668" s="342"/>
      <c r="J668" s="342"/>
      <c r="K668" s="342"/>
      <c r="L668" s="342"/>
      <c r="M668" s="342"/>
      <c r="N668" s="342"/>
      <c r="O668" s="342"/>
      <c r="P668" s="342"/>
      <c r="Q668" s="342"/>
      <c r="R668" s="342"/>
      <c r="S668" s="342"/>
      <c r="T668" s="342"/>
      <c r="U668" s="342"/>
      <c r="V668" s="342"/>
      <c r="W668" s="342"/>
      <c r="X668" s="342"/>
      <c r="Y668" s="342"/>
      <c r="Z668" s="342"/>
      <c r="AA668" s="342"/>
      <c r="AB668" s="342"/>
      <c r="AC668" s="342"/>
      <c r="AD668" s="342"/>
      <c r="AE668" s="342"/>
      <c r="AF668" s="342"/>
      <c r="AG668" s="342"/>
      <c r="AH668" s="342"/>
      <c r="AI668" s="342"/>
      <c r="AJ668" s="342"/>
      <c r="AK668" s="342"/>
      <c r="AL668" s="342"/>
      <c r="AM668" s="342"/>
      <c r="AN668" s="342"/>
      <c r="AO668" s="342"/>
      <c r="AP668" s="342"/>
      <c r="AQ668" s="342"/>
      <c r="AR668" s="342"/>
      <c r="AS668" s="342"/>
      <c r="AT668" s="342"/>
      <c r="AU668" s="342"/>
      <c r="AV668" s="342"/>
      <c r="AW668" s="342"/>
      <c r="AX668" s="342"/>
      <c r="AY668" s="342"/>
      <c r="AZ668" s="342"/>
      <c r="BA668" s="342"/>
      <c r="BB668" s="342"/>
      <c r="BC668" s="342"/>
      <c r="BD668" s="342"/>
      <c r="BE668" s="1325"/>
      <c r="BF668" s="249"/>
    </row>
    <row r="669" spans="2:58" x14ac:dyDescent="0.25">
      <c r="B669" s="331"/>
      <c r="C669" s="410" t="s">
        <v>71</v>
      </c>
      <c r="D669" s="332"/>
      <c r="E669" s="332"/>
      <c r="F669" s="332"/>
      <c r="G669" s="342"/>
      <c r="H669" s="342"/>
      <c r="I669" s="342"/>
      <c r="J669" s="342"/>
      <c r="K669" s="342"/>
      <c r="L669" s="342"/>
      <c r="M669" s="342"/>
      <c r="N669" s="342"/>
      <c r="O669" s="342"/>
      <c r="P669" s="342"/>
      <c r="Q669" s="342"/>
      <c r="R669" s="342"/>
      <c r="S669" s="342"/>
      <c r="T669" s="342"/>
      <c r="U669" s="342"/>
      <c r="V669" s="342"/>
      <c r="W669" s="342"/>
      <c r="X669" s="342"/>
      <c r="Y669" s="342"/>
      <c r="Z669" s="342"/>
      <c r="AA669" s="342"/>
      <c r="AB669" s="342"/>
      <c r="AC669" s="342"/>
      <c r="AD669" s="342"/>
      <c r="AE669" s="342"/>
      <c r="AF669" s="342"/>
      <c r="AG669" s="342"/>
      <c r="AH669" s="342"/>
      <c r="AI669" s="342"/>
      <c r="AJ669" s="342"/>
      <c r="AK669" s="342"/>
      <c r="AL669" s="342"/>
      <c r="AM669" s="342"/>
      <c r="AN669" s="342"/>
      <c r="AO669" s="342"/>
      <c r="AP669" s="342"/>
      <c r="AQ669" s="342"/>
      <c r="AR669" s="342"/>
      <c r="AS669" s="342"/>
      <c r="AT669" s="342"/>
      <c r="AU669" s="342"/>
      <c r="AV669" s="342"/>
      <c r="AW669" s="342"/>
      <c r="AX669" s="342"/>
      <c r="AY669" s="342"/>
      <c r="AZ669" s="342"/>
      <c r="BA669" s="342"/>
      <c r="BB669" s="342"/>
      <c r="BC669" s="342"/>
      <c r="BD669" s="342"/>
      <c r="BE669" s="1325"/>
      <c r="BF669" s="249"/>
    </row>
    <row r="670" spans="2:58" x14ac:dyDescent="0.25">
      <c r="B670" s="331"/>
      <c r="C670" s="332" t="s">
        <v>236</v>
      </c>
      <c r="D670" s="332"/>
      <c r="E670" s="332"/>
      <c r="F670" s="332"/>
      <c r="G670" s="342"/>
      <c r="H670" s="342">
        <f>IF($G654&gt;0, $G654*'II. Inputs, Baseline Energy Mix'!$R$51/10000,0)</f>
        <v>0</v>
      </c>
      <c r="I670" s="342">
        <v>0</v>
      </c>
      <c r="J670" s="342">
        <v>0</v>
      </c>
      <c r="K670" s="342">
        <v>0</v>
      </c>
      <c r="L670" s="342">
        <v>0</v>
      </c>
      <c r="M670" s="342">
        <v>0</v>
      </c>
      <c r="N670" s="342">
        <v>0</v>
      </c>
      <c r="O670" s="342">
        <v>0</v>
      </c>
      <c r="P670" s="342">
        <v>0</v>
      </c>
      <c r="Q670" s="342">
        <v>0</v>
      </c>
      <c r="R670" s="342">
        <v>0</v>
      </c>
      <c r="S670" s="342">
        <v>0</v>
      </c>
      <c r="T670" s="342">
        <v>0</v>
      </c>
      <c r="U670" s="342">
        <v>0</v>
      </c>
      <c r="V670" s="342">
        <v>0</v>
      </c>
      <c r="W670" s="342">
        <v>0</v>
      </c>
      <c r="X670" s="342">
        <v>0</v>
      </c>
      <c r="Y670" s="342">
        <v>0</v>
      </c>
      <c r="Z670" s="342">
        <v>0</v>
      </c>
      <c r="AA670" s="342">
        <v>0</v>
      </c>
      <c r="AB670" s="342">
        <v>0</v>
      </c>
      <c r="AC670" s="342">
        <v>0</v>
      </c>
      <c r="AD670" s="342">
        <v>0</v>
      </c>
      <c r="AE670" s="342">
        <v>0</v>
      </c>
      <c r="AF670" s="342">
        <v>0</v>
      </c>
      <c r="AG670" s="342">
        <v>0</v>
      </c>
      <c r="AH670" s="342">
        <v>0</v>
      </c>
      <c r="AI670" s="342">
        <v>0</v>
      </c>
      <c r="AJ670" s="342">
        <v>0</v>
      </c>
      <c r="AK670" s="342">
        <v>0</v>
      </c>
      <c r="AL670" s="342">
        <v>0</v>
      </c>
      <c r="AM670" s="342">
        <v>0</v>
      </c>
      <c r="AN670" s="342">
        <v>0</v>
      </c>
      <c r="AO670" s="342">
        <v>0</v>
      </c>
      <c r="AP670" s="342">
        <v>0</v>
      </c>
      <c r="AQ670" s="342">
        <v>0</v>
      </c>
      <c r="AR670" s="342">
        <v>0</v>
      </c>
      <c r="AS670" s="342">
        <v>0</v>
      </c>
      <c r="AT670" s="342">
        <v>0</v>
      </c>
      <c r="AU670" s="342">
        <v>0</v>
      </c>
      <c r="AV670" s="342">
        <v>0</v>
      </c>
      <c r="AW670" s="342">
        <v>0</v>
      </c>
      <c r="AX670" s="342">
        <v>0</v>
      </c>
      <c r="AY670" s="342">
        <v>0</v>
      </c>
      <c r="AZ670" s="342">
        <v>0</v>
      </c>
      <c r="BA670" s="342">
        <v>0</v>
      </c>
      <c r="BB670" s="342">
        <v>0</v>
      </c>
      <c r="BC670" s="342">
        <v>0</v>
      </c>
      <c r="BD670" s="342">
        <v>0</v>
      </c>
      <c r="BE670" s="1325">
        <v>0</v>
      </c>
      <c r="BF670" s="249"/>
    </row>
    <row r="671" spans="2:58" x14ac:dyDescent="0.25">
      <c r="B671" s="331"/>
      <c r="C671" s="332"/>
      <c r="D671" s="332"/>
      <c r="E671" s="332"/>
      <c r="F671" s="332"/>
      <c r="G671" s="332"/>
      <c r="H671" s="332"/>
      <c r="I671" s="332"/>
      <c r="J671" s="332"/>
      <c r="K671" s="332"/>
      <c r="L671" s="332"/>
      <c r="M671" s="332"/>
      <c r="N671" s="332"/>
      <c r="O671" s="332"/>
      <c r="P671" s="332"/>
      <c r="Q671" s="332"/>
      <c r="R671" s="332"/>
      <c r="S671" s="332"/>
      <c r="T671" s="332"/>
      <c r="U671" s="332"/>
      <c r="V671" s="332"/>
      <c r="W671" s="332"/>
      <c r="X671" s="332"/>
      <c r="Y671" s="332"/>
      <c r="Z671" s="332"/>
      <c r="AA671" s="332"/>
      <c r="AB671" s="332"/>
      <c r="AC671" s="332"/>
      <c r="AD671" s="332"/>
      <c r="AE671" s="332"/>
      <c r="AF671" s="332"/>
      <c r="AG671" s="332"/>
      <c r="AH671" s="332"/>
      <c r="AI671" s="332"/>
      <c r="AJ671" s="332"/>
      <c r="AK671" s="332"/>
      <c r="AL671" s="332"/>
      <c r="AM671" s="332"/>
      <c r="AN671" s="332"/>
      <c r="AO671" s="332"/>
      <c r="AP671" s="332"/>
      <c r="AQ671" s="332"/>
      <c r="AR671" s="332"/>
      <c r="AS671" s="332"/>
      <c r="AT671" s="332"/>
      <c r="AU671" s="332"/>
      <c r="AV671" s="332"/>
      <c r="AW671" s="332"/>
      <c r="AX671" s="332"/>
      <c r="AY671" s="332"/>
      <c r="AZ671" s="332"/>
      <c r="BA671" s="332"/>
      <c r="BB671" s="332"/>
      <c r="BC671" s="332"/>
      <c r="BD671" s="332"/>
      <c r="BE671" s="333"/>
    </row>
    <row r="672" spans="2:58" x14ac:dyDescent="0.25">
      <c r="B672" s="331"/>
      <c r="C672" s="332"/>
      <c r="D672" s="332"/>
      <c r="E672" s="332"/>
      <c r="F672" s="332"/>
      <c r="G672" s="332"/>
      <c r="H672" s="332"/>
      <c r="I672" s="332"/>
      <c r="J672" s="332"/>
      <c r="K672" s="332"/>
      <c r="L672" s="332"/>
      <c r="M672" s="332"/>
      <c r="N672" s="332"/>
      <c r="O672" s="332"/>
      <c r="P672" s="332"/>
      <c r="Q672" s="332"/>
      <c r="R672" s="332"/>
      <c r="S672" s="332"/>
      <c r="T672" s="332"/>
      <c r="U672" s="332"/>
      <c r="V672" s="332"/>
      <c r="W672" s="332"/>
      <c r="X672" s="332"/>
      <c r="Y672" s="332"/>
      <c r="Z672" s="332"/>
      <c r="AA672" s="332"/>
      <c r="AB672" s="332"/>
      <c r="AC672" s="332"/>
      <c r="AD672" s="332"/>
      <c r="AE672" s="332"/>
      <c r="AF672" s="332"/>
      <c r="AG672" s="332"/>
      <c r="AH672" s="332"/>
      <c r="AI672" s="332"/>
      <c r="AJ672" s="332"/>
      <c r="AK672" s="332"/>
      <c r="AL672" s="332"/>
      <c r="AM672" s="332"/>
      <c r="AN672" s="332"/>
      <c r="AO672" s="332"/>
      <c r="AP672" s="332"/>
      <c r="AQ672" s="332"/>
      <c r="AR672" s="332"/>
      <c r="AS672" s="332"/>
      <c r="AT672" s="332"/>
      <c r="AU672" s="332"/>
      <c r="AV672" s="332"/>
      <c r="AW672" s="332"/>
      <c r="AX672" s="332"/>
      <c r="AY672" s="332"/>
      <c r="AZ672" s="332"/>
      <c r="BA672" s="332"/>
      <c r="BB672" s="332"/>
      <c r="BC672" s="332"/>
      <c r="BD672" s="332"/>
      <c r="BE672" s="333"/>
    </row>
    <row r="673" spans="2:57" x14ac:dyDescent="0.25">
      <c r="B673" s="343" t="s">
        <v>86</v>
      </c>
      <c r="C673" s="332"/>
      <c r="D673" s="332"/>
      <c r="E673" s="332"/>
      <c r="F673" s="332"/>
      <c r="G673" s="332"/>
      <c r="H673" s="332"/>
      <c r="I673" s="332"/>
      <c r="J673" s="332"/>
      <c r="K673" s="332"/>
      <c r="L673" s="332"/>
      <c r="M673" s="332"/>
      <c r="N673" s="332"/>
      <c r="O673" s="332"/>
      <c r="P673" s="332"/>
      <c r="Q673" s="332"/>
      <c r="R673" s="332"/>
      <c r="S673" s="332"/>
      <c r="T673" s="332"/>
      <c r="U673" s="332"/>
      <c r="V673" s="332"/>
      <c r="W673" s="332"/>
      <c r="X673" s="332"/>
      <c r="Y673" s="332"/>
      <c r="Z673" s="332"/>
      <c r="AA673" s="332"/>
      <c r="AB673" s="332"/>
      <c r="AC673" s="332"/>
      <c r="AD673" s="332"/>
      <c r="AE673" s="332"/>
      <c r="AF673" s="332"/>
      <c r="AG673" s="332"/>
      <c r="AH673" s="332"/>
      <c r="AI673" s="332"/>
      <c r="AJ673" s="332"/>
      <c r="AK673" s="332"/>
      <c r="AL673" s="332"/>
      <c r="AM673" s="332"/>
      <c r="AN673" s="332"/>
      <c r="AO673" s="332"/>
      <c r="AP673" s="332"/>
      <c r="AQ673" s="332"/>
      <c r="AR673" s="332"/>
      <c r="AS673" s="332"/>
      <c r="AT673" s="332"/>
      <c r="AU673" s="332"/>
      <c r="AV673" s="332"/>
      <c r="AW673" s="332"/>
      <c r="AX673" s="332"/>
      <c r="AY673" s="332"/>
      <c r="AZ673" s="332"/>
      <c r="BA673" s="332"/>
      <c r="BB673" s="332"/>
      <c r="BC673" s="332"/>
      <c r="BD673" s="332"/>
      <c r="BE673" s="333"/>
    </row>
    <row r="674" spans="2:57" x14ac:dyDescent="0.25">
      <c r="B674" s="331"/>
      <c r="C674" s="407" t="s">
        <v>84</v>
      </c>
      <c r="D674" s="332"/>
      <c r="E674" s="332"/>
      <c r="F674" s="332"/>
      <c r="G674" s="342">
        <f>IF('II. Inputs, Baseline Energy Mix'!$R$15&gt;0, ('II. Inputs, Baseline Energy Mix'!$R$16*'II. Inputs, Baseline Energy Mix'!$R$17*'II. Inputs, Baseline Energy Mix'!$R$29*'II. Inputs, Baseline Energy Mix'!$R$80),0)</f>
        <v>0</v>
      </c>
      <c r="H674" s="332"/>
      <c r="I674" s="332"/>
      <c r="J674" s="332"/>
      <c r="K674" s="332"/>
      <c r="L674" s="332"/>
      <c r="M674" s="332"/>
      <c r="N674" s="332"/>
      <c r="O674" s="332"/>
      <c r="P674" s="332"/>
      <c r="Q674" s="332"/>
      <c r="R674" s="332"/>
      <c r="S674" s="332"/>
      <c r="T674" s="332"/>
      <c r="U674" s="332"/>
      <c r="V674" s="332"/>
      <c r="W674" s="332"/>
      <c r="X674" s="332"/>
      <c r="Y674" s="332"/>
      <c r="Z674" s="332"/>
      <c r="AA674" s="332"/>
      <c r="AB674" s="332"/>
      <c r="AC674" s="332"/>
      <c r="AD674" s="332"/>
      <c r="AE674" s="332"/>
      <c r="AF674" s="332"/>
      <c r="AG674" s="332"/>
      <c r="AH674" s="332"/>
      <c r="AI674" s="332"/>
      <c r="AJ674" s="332"/>
      <c r="AK674" s="332"/>
      <c r="AL674" s="332"/>
      <c r="AM674" s="332"/>
      <c r="AN674" s="332"/>
      <c r="AO674" s="332"/>
      <c r="AP674" s="332"/>
      <c r="AQ674" s="332"/>
      <c r="AR674" s="332"/>
      <c r="AS674" s="332"/>
      <c r="AT674" s="332"/>
      <c r="AU674" s="332"/>
      <c r="AV674" s="332"/>
      <c r="AW674" s="332"/>
      <c r="AX674" s="332"/>
      <c r="AY674" s="332"/>
      <c r="AZ674" s="332"/>
      <c r="BA674" s="332"/>
      <c r="BB674" s="332"/>
      <c r="BC674" s="332"/>
      <c r="BD674" s="332"/>
      <c r="BE674" s="333"/>
    </row>
    <row r="675" spans="2:57" x14ac:dyDescent="0.25">
      <c r="B675" s="331"/>
      <c r="C675" s="407" t="str">
        <f>'II. Inputs, Baseline Energy Mix'!$E$81</f>
        <v xml:space="preserve">Term of Political Risk Insurance </v>
      </c>
      <c r="D675" s="332"/>
      <c r="E675" s="332"/>
      <c r="F675" s="332"/>
      <c r="G675" s="334">
        <f>'II. Inputs, Baseline Energy Mix'!$R$81</f>
        <v>0</v>
      </c>
      <c r="H675" s="332"/>
      <c r="I675" s="332"/>
      <c r="J675" s="332"/>
      <c r="K675" s="332"/>
      <c r="L675" s="332"/>
      <c r="M675" s="332"/>
      <c r="N675" s="332"/>
      <c r="O675" s="332"/>
      <c r="P675" s="332"/>
      <c r="Q675" s="332"/>
      <c r="R675" s="332"/>
      <c r="S675" s="332"/>
      <c r="T675" s="332"/>
      <c r="U675" s="332"/>
      <c r="V675" s="332"/>
      <c r="W675" s="332"/>
      <c r="X675" s="332"/>
      <c r="Y675" s="332"/>
      <c r="Z675" s="332"/>
      <c r="AA675" s="332"/>
      <c r="AB675" s="332"/>
      <c r="AC675" s="332"/>
      <c r="AD675" s="332"/>
      <c r="AE675" s="332"/>
      <c r="AF675" s="332"/>
      <c r="AG675" s="332"/>
      <c r="AH675" s="332"/>
      <c r="AI675" s="332"/>
      <c r="AJ675" s="332"/>
      <c r="AK675" s="332"/>
      <c r="AL675" s="332"/>
      <c r="AM675" s="332"/>
      <c r="AN675" s="332"/>
      <c r="AO675" s="332"/>
      <c r="AP675" s="332"/>
      <c r="AQ675" s="332"/>
      <c r="AR675" s="332"/>
      <c r="AS675" s="332"/>
      <c r="AT675" s="332"/>
      <c r="AU675" s="332"/>
      <c r="AV675" s="332"/>
      <c r="AW675" s="332"/>
      <c r="AX675" s="332"/>
      <c r="AY675" s="332"/>
      <c r="AZ675" s="332"/>
      <c r="BA675" s="332"/>
      <c r="BB675" s="332"/>
      <c r="BC675" s="332"/>
      <c r="BD675" s="332"/>
      <c r="BE675" s="333"/>
    </row>
    <row r="676" spans="2:57" x14ac:dyDescent="0.25">
      <c r="B676" s="331"/>
      <c r="C676" s="407" t="str">
        <f>'II. Inputs, Baseline Energy Mix'!$E$82</f>
        <v xml:space="preserve">Front-end Fee </v>
      </c>
      <c r="D676" s="332"/>
      <c r="E676" s="332"/>
      <c r="F676" s="332"/>
      <c r="G676" s="342">
        <f>'II. Inputs, Baseline Energy Mix'!$R$82</f>
        <v>0</v>
      </c>
      <c r="H676" s="332"/>
      <c r="I676" s="332"/>
      <c r="J676" s="332"/>
      <c r="K676" s="332"/>
      <c r="L676" s="332"/>
      <c r="M676" s="332"/>
      <c r="N676" s="332"/>
      <c r="O676" s="332"/>
      <c r="P676" s="332"/>
      <c r="Q676" s="332"/>
      <c r="R676" s="332"/>
      <c r="S676" s="332"/>
      <c r="T676" s="332"/>
      <c r="U676" s="332"/>
      <c r="V676" s="332"/>
      <c r="W676" s="332"/>
      <c r="X676" s="332"/>
      <c r="Y676" s="332"/>
      <c r="Z676" s="332"/>
      <c r="AA676" s="332"/>
      <c r="AB676" s="332"/>
      <c r="AC676" s="332"/>
      <c r="AD676" s="332"/>
      <c r="AE676" s="332"/>
      <c r="AF676" s="332"/>
      <c r="AG676" s="332"/>
      <c r="AH676" s="332"/>
      <c r="AI676" s="332"/>
      <c r="AJ676" s="332"/>
      <c r="AK676" s="332"/>
      <c r="AL676" s="332"/>
      <c r="AM676" s="332"/>
      <c r="AN676" s="332"/>
      <c r="AO676" s="332"/>
      <c r="AP676" s="332"/>
      <c r="AQ676" s="332"/>
      <c r="AR676" s="332"/>
      <c r="AS676" s="332"/>
      <c r="AT676" s="332"/>
      <c r="AU676" s="332"/>
      <c r="AV676" s="332"/>
      <c r="AW676" s="332"/>
      <c r="AX676" s="332"/>
      <c r="AY676" s="332"/>
      <c r="AZ676" s="332"/>
      <c r="BA676" s="332"/>
      <c r="BB676" s="332"/>
      <c r="BC676" s="332"/>
      <c r="BD676" s="332"/>
      <c r="BE676" s="333"/>
    </row>
    <row r="677" spans="2:57" x14ac:dyDescent="0.25">
      <c r="B677" s="331"/>
      <c r="C677" s="407" t="str">
        <f>'II. Inputs, Baseline Energy Mix'!$E$83</f>
        <v xml:space="preserve">Annual Political Risk Insurance Premium </v>
      </c>
      <c r="D677" s="332"/>
      <c r="E677" s="332"/>
      <c r="F677" s="332"/>
      <c r="G677" s="342">
        <f>'II. Inputs, Baseline Energy Mix'!$R$83</f>
        <v>0</v>
      </c>
      <c r="H677" s="332"/>
      <c r="I677" s="332"/>
      <c r="J677" s="332"/>
      <c r="K677" s="332"/>
      <c r="L677" s="332"/>
      <c r="M677" s="332"/>
      <c r="N677" s="332"/>
      <c r="O677" s="332"/>
      <c r="P677" s="332"/>
      <c r="Q677" s="332"/>
      <c r="R677" s="332"/>
      <c r="S677" s="332"/>
      <c r="T677" s="332"/>
      <c r="U677" s="332"/>
      <c r="V677" s="332"/>
      <c r="W677" s="332"/>
      <c r="X677" s="332"/>
      <c r="Y677" s="332"/>
      <c r="Z677" s="332"/>
      <c r="AA677" s="332"/>
      <c r="AB677" s="332"/>
      <c r="AC677" s="332"/>
      <c r="AD677" s="332"/>
      <c r="AE677" s="332"/>
      <c r="AF677" s="332"/>
      <c r="AG677" s="332"/>
      <c r="AH677" s="332"/>
      <c r="AI677" s="332"/>
      <c r="AJ677" s="332"/>
      <c r="AK677" s="332"/>
      <c r="AL677" s="332"/>
      <c r="AM677" s="332"/>
      <c r="AN677" s="332"/>
      <c r="AO677" s="332"/>
      <c r="AP677" s="332"/>
      <c r="AQ677" s="332"/>
      <c r="AR677" s="332"/>
      <c r="AS677" s="332"/>
      <c r="AT677" s="332"/>
      <c r="AU677" s="332"/>
      <c r="AV677" s="332"/>
      <c r="AW677" s="332"/>
      <c r="AX677" s="332"/>
      <c r="AY677" s="332"/>
      <c r="AZ677" s="332"/>
      <c r="BA677" s="332"/>
      <c r="BB677" s="332"/>
      <c r="BC677" s="332"/>
      <c r="BD677" s="332"/>
      <c r="BE677" s="333"/>
    </row>
    <row r="678" spans="2:57" x14ac:dyDescent="0.25">
      <c r="B678" s="331"/>
      <c r="C678" s="332"/>
      <c r="D678" s="332"/>
      <c r="E678" s="332"/>
      <c r="F678" s="332"/>
      <c r="G678" s="332"/>
      <c r="H678" s="332"/>
      <c r="I678" s="332"/>
      <c r="J678" s="332"/>
      <c r="K678" s="332"/>
      <c r="L678" s="332"/>
      <c r="M678" s="332"/>
      <c r="N678" s="332"/>
      <c r="O678" s="332"/>
      <c r="P678" s="332"/>
      <c r="Q678" s="332"/>
      <c r="R678" s="332"/>
      <c r="S678" s="332"/>
      <c r="T678" s="332"/>
      <c r="U678" s="332"/>
      <c r="V678" s="332"/>
      <c r="W678" s="332"/>
      <c r="X678" s="332"/>
      <c r="Y678" s="332"/>
      <c r="Z678" s="332"/>
      <c r="AA678" s="332"/>
      <c r="AB678" s="332"/>
      <c r="AC678" s="332"/>
      <c r="AD678" s="332"/>
      <c r="AE678" s="332"/>
      <c r="AF678" s="332"/>
      <c r="AG678" s="332"/>
      <c r="AH678" s="332"/>
      <c r="AI678" s="332"/>
      <c r="AJ678" s="332"/>
      <c r="AK678" s="332"/>
      <c r="AL678" s="332"/>
      <c r="AM678" s="332"/>
      <c r="AN678" s="332"/>
      <c r="AO678" s="332"/>
      <c r="AP678" s="332"/>
      <c r="AQ678" s="332"/>
      <c r="AR678" s="332"/>
      <c r="AS678" s="332"/>
      <c r="AT678" s="332"/>
      <c r="AU678" s="332"/>
      <c r="AV678" s="332"/>
      <c r="AW678" s="332"/>
      <c r="AX678" s="332"/>
      <c r="AY678" s="332"/>
      <c r="AZ678" s="332"/>
      <c r="BA678" s="332"/>
      <c r="BB678" s="332"/>
      <c r="BC678" s="332"/>
      <c r="BD678" s="332"/>
      <c r="BE678" s="333"/>
    </row>
    <row r="679" spans="2:57" x14ac:dyDescent="0.25">
      <c r="B679" s="331"/>
      <c r="C679" s="410" t="s">
        <v>71</v>
      </c>
      <c r="D679" s="332"/>
      <c r="E679" s="332"/>
      <c r="F679" s="332"/>
      <c r="G679" s="332"/>
      <c r="H679" s="332"/>
      <c r="I679" s="332"/>
      <c r="J679" s="332"/>
      <c r="K679" s="332"/>
      <c r="L679" s="332"/>
      <c r="M679" s="332"/>
      <c r="N679" s="332"/>
      <c r="O679" s="332"/>
      <c r="P679" s="332"/>
      <c r="Q679" s="332"/>
      <c r="R679" s="332"/>
      <c r="S679" s="332"/>
      <c r="T679" s="332"/>
      <c r="U679" s="332"/>
      <c r="V679" s="332"/>
      <c r="W679" s="332"/>
      <c r="X679" s="332"/>
      <c r="Y679" s="332"/>
      <c r="Z679" s="332"/>
      <c r="AA679" s="332"/>
      <c r="AB679" s="332"/>
      <c r="AC679" s="332"/>
      <c r="AD679" s="332"/>
      <c r="AE679" s="332"/>
      <c r="AF679" s="332"/>
      <c r="AG679" s="332"/>
      <c r="AH679" s="332"/>
      <c r="AI679" s="332"/>
      <c r="AJ679" s="332"/>
      <c r="AK679" s="332"/>
      <c r="AL679" s="332"/>
      <c r="AM679" s="332"/>
      <c r="AN679" s="332"/>
      <c r="AO679" s="332"/>
      <c r="AP679" s="332"/>
      <c r="AQ679" s="332"/>
      <c r="AR679" s="332"/>
      <c r="AS679" s="332"/>
      <c r="AT679" s="332"/>
      <c r="AU679" s="332"/>
      <c r="AV679" s="332"/>
      <c r="AW679" s="332"/>
      <c r="AX679" s="332"/>
      <c r="AY679" s="332"/>
      <c r="AZ679" s="332"/>
      <c r="BA679" s="332"/>
      <c r="BB679" s="332"/>
      <c r="BC679" s="332"/>
      <c r="BD679" s="332"/>
      <c r="BE679" s="333"/>
    </row>
    <row r="680" spans="2:57" x14ac:dyDescent="0.25">
      <c r="B680" s="331"/>
      <c r="C680" s="332" t="str">
        <f>'II. Inputs, Baseline Energy Mix'!$E$82</f>
        <v xml:space="preserve">Front-end Fee </v>
      </c>
      <c r="D680" s="332"/>
      <c r="E680" s="332"/>
      <c r="F680" s="332"/>
      <c r="G680" s="332"/>
      <c r="H680" s="342">
        <f>IF(G674&gt;0, G674*G676/10000, 0)</f>
        <v>0</v>
      </c>
      <c r="I680" s="342">
        <v>0</v>
      </c>
      <c r="J680" s="342">
        <v>0</v>
      </c>
      <c r="K680" s="342">
        <v>0</v>
      </c>
      <c r="L680" s="342">
        <v>0</v>
      </c>
      <c r="M680" s="342">
        <v>0</v>
      </c>
      <c r="N680" s="342">
        <v>0</v>
      </c>
      <c r="O680" s="342">
        <v>0</v>
      </c>
      <c r="P680" s="342">
        <v>0</v>
      </c>
      <c r="Q680" s="342">
        <v>0</v>
      </c>
      <c r="R680" s="342">
        <v>0</v>
      </c>
      <c r="S680" s="342">
        <v>0</v>
      </c>
      <c r="T680" s="342">
        <v>0</v>
      </c>
      <c r="U680" s="342">
        <v>0</v>
      </c>
      <c r="V680" s="342">
        <v>0</v>
      </c>
      <c r="W680" s="342">
        <v>0</v>
      </c>
      <c r="X680" s="342">
        <v>0</v>
      </c>
      <c r="Y680" s="342">
        <v>0</v>
      </c>
      <c r="Z680" s="342">
        <v>0</v>
      </c>
      <c r="AA680" s="342">
        <v>0</v>
      </c>
      <c r="AB680" s="342">
        <v>0</v>
      </c>
      <c r="AC680" s="342">
        <v>0</v>
      </c>
      <c r="AD680" s="342">
        <v>0</v>
      </c>
      <c r="AE680" s="342">
        <v>0</v>
      </c>
      <c r="AF680" s="342">
        <v>0</v>
      </c>
      <c r="AG680" s="342">
        <v>0</v>
      </c>
      <c r="AH680" s="342">
        <v>0</v>
      </c>
      <c r="AI680" s="342">
        <v>0</v>
      </c>
      <c r="AJ680" s="342">
        <v>0</v>
      </c>
      <c r="AK680" s="342">
        <v>0</v>
      </c>
      <c r="AL680" s="342">
        <v>0</v>
      </c>
      <c r="AM680" s="342">
        <v>0</v>
      </c>
      <c r="AN680" s="342">
        <v>0</v>
      </c>
      <c r="AO680" s="342">
        <v>0</v>
      </c>
      <c r="AP680" s="342">
        <v>0</v>
      </c>
      <c r="AQ680" s="342">
        <v>0</v>
      </c>
      <c r="AR680" s="342">
        <v>0</v>
      </c>
      <c r="AS680" s="342">
        <v>0</v>
      </c>
      <c r="AT680" s="342">
        <v>0</v>
      </c>
      <c r="AU680" s="342">
        <v>0</v>
      </c>
      <c r="AV680" s="342">
        <v>0</v>
      </c>
      <c r="AW680" s="342">
        <v>0</v>
      </c>
      <c r="AX680" s="342">
        <v>0</v>
      </c>
      <c r="AY680" s="342">
        <v>0</v>
      </c>
      <c r="AZ680" s="342">
        <v>0</v>
      </c>
      <c r="BA680" s="342">
        <v>0</v>
      </c>
      <c r="BB680" s="342">
        <v>0</v>
      </c>
      <c r="BC680" s="342">
        <v>0</v>
      </c>
      <c r="BD680" s="342">
        <v>0</v>
      </c>
      <c r="BE680" s="1325">
        <v>0</v>
      </c>
    </row>
    <row r="681" spans="2:57" x14ac:dyDescent="0.25">
      <c r="B681" s="331"/>
      <c r="C681" s="339" t="str">
        <f>'II. Inputs, Baseline Energy Mix'!$E$83</f>
        <v xml:space="preserve">Annual Political Risk Insurance Premium </v>
      </c>
      <c r="D681" s="339"/>
      <c r="E681" s="339"/>
      <c r="F681" s="339"/>
      <c r="G681" s="339"/>
      <c r="H681" s="1326">
        <f>IF(H$299&gt;$G675,0,($G674*$G677/10000))</f>
        <v>0</v>
      </c>
      <c r="I681" s="1326">
        <f>IF(I$299&gt;$G675,0,($G674*$G677/10000))</f>
        <v>0</v>
      </c>
      <c r="J681" s="1326">
        <f t="shared" ref="J681:BE681" si="224">IF(J$299&gt;$G675,0,($G674*$G677/10000))</f>
        <v>0</v>
      </c>
      <c r="K681" s="1326">
        <f t="shared" si="224"/>
        <v>0</v>
      </c>
      <c r="L681" s="1326">
        <f t="shared" si="224"/>
        <v>0</v>
      </c>
      <c r="M681" s="1326">
        <f t="shared" si="224"/>
        <v>0</v>
      </c>
      <c r="N681" s="1326">
        <f t="shared" si="224"/>
        <v>0</v>
      </c>
      <c r="O681" s="1326">
        <f t="shared" si="224"/>
        <v>0</v>
      </c>
      <c r="P681" s="1326">
        <f t="shared" si="224"/>
        <v>0</v>
      </c>
      <c r="Q681" s="1326">
        <f t="shared" si="224"/>
        <v>0</v>
      </c>
      <c r="R681" s="1326">
        <f t="shared" si="224"/>
        <v>0</v>
      </c>
      <c r="S681" s="1326">
        <f t="shared" si="224"/>
        <v>0</v>
      </c>
      <c r="T681" s="1326">
        <f t="shared" si="224"/>
        <v>0</v>
      </c>
      <c r="U681" s="1326">
        <f t="shared" si="224"/>
        <v>0</v>
      </c>
      <c r="V681" s="1326">
        <f t="shared" si="224"/>
        <v>0</v>
      </c>
      <c r="W681" s="1326">
        <f t="shared" si="224"/>
        <v>0</v>
      </c>
      <c r="X681" s="1326">
        <f t="shared" si="224"/>
        <v>0</v>
      </c>
      <c r="Y681" s="1326">
        <f t="shared" si="224"/>
        <v>0</v>
      </c>
      <c r="Z681" s="1326">
        <f t="shared" si="224"/>
        <v>0</v>
      </c>
      <c r="AA681" s="1326">
        <f t="shared" si="224"/>
        <v>0</v>
      </c>
      <c r="AB681" s="1326">
        <f t="shared" si="224"/>
        <v>0</v>
      </c>
      <c r="AC681" s="1326">
        <f t="shared" si="224"/>
        <v>0</v>
      </c>
      <c r="AD681" s="1326">
        <f t="shared" si="224"/>
        <v>0</v>
      </c>
      <c r="AE681" s="1326">
        <f t="shared" si="224"/>
        <v>0</v>
      </c>
      <c r="AF681" s="1326">
        <f t="shared" si="224"/>
        <v>0</v>
      </c>
      <c r="AG681" s="1326">
        <f t="shared" si="224"/>
        <v>0</v>
      </c>
      <c r="AH681" s="1326">
        <f t="shared" si="224"/>
        <v>0</v>
      </c>
      <c r="AI681" s="1326">
        <f t="shared" si="224"/>
        <v>0</v>
      </c>
      <c r="AJ681" s="1326">
        <f t="shared" si="224"/>
        <v>0</v>
      </c>
      <c r="AK681" s="1326">
        <f t="shared" si="224"/>
        <v>0</v>
      </c>
      <c r="AL681" s="1326">
        <f t="shared" si="224"/>
        <v>0</v>
      </c>
      <c r="AM681" s="1326">
        <f t="shared" si="224"/>
        <v>0</v>
      </c>
      <c r="AN681" s="1326">
        <f t="shared" si="224"/>
        <v>0</v>
      </c>
      <c r="AO681" s="1326">
        <f t="shared" si="224"/>
        <v>0</v>
      </c>
      <c r="AP681" s="1326">
        <f t="shared" si="224"/>
        <v>0</v>
      </c>
      <c r="AQ681" s="1326">
        <f t="shared" si="224"/>
        <v>0</v>
      </c>
      <c r="AR681" s="1326">
        <f t="shared" si="224"/>
        <v>0</v>
      </c>
      <c r="AS681" s="1326">
        <f t="shared" si="224"/>
        <v>0</v>
      </c>
      <c r="AT681" s="1326">
        <f t="shared" si="224"/>
        <v>0</v>
      </c>
      <c r="AU681" s="1326">
        <f t="shared" si="224"/>
        <v>0</v>
      </c>
      <c r="AV681" s="1326">
        <f t="shared" si="224"/>
        <v>0</v>
      </c>
      <c r="AW681" s="1326">
        <f t="shared" si="224"/>
        <v>0</v>
      </c>
      <c r="AX681" s="1326">
        <f t="shared" si="224"/>
        <v>0</v>
      </c>
      <c r="AY681" s="1326">
        <f t="shared" si="224"/>
        <v>0</v>
      </c>
      <c r="AZ681" s="1326">
        <f t="shared" si="224"/>
        <v>0</v>
      </c>
      <c r="BA681" s="1326">
        <f t="shared" si="224"/>
        <v>0</v>
      </c>
      <c r="BB681" s="1326">
        <f t="shared" si="224"/>
        <v>0</v>
      </c>
      <c r="BC681" s="1326">
        <f t="shared" si="224"/>
        <v>0</v>
      </c>
      <c r="BD681" s="1326">
        <f t="shared" si="224"/>
        <v>0</v>
      </c>
      <c r="BE681" s="1327">
        <f t="shared" si="224"/>
        <v>0</v>
      </c>
    </row>
    <row r="682" spans="2:57" x14ac:dyDescent="0.25">
      <c r="B682" s="331"/>
      <c r="C682" s="332" t="s">
        <v>85</v>
      </c>
      <c r="D682" s="332"/>
      <c r="E682" s="332"/>
      <c r="F682" s="332"/>
      <c r="G682" s="332"/>
      <c r="H682" s="342">
        <f>H680+H681</f>
        <v>0</v>
      </c>
      <c r="I682" s="342">
        <f t="shared" ref="I682:BE682" si="225">I680+I681</f>
        <v>0</v>
      </c>
      <c r="J682" s="342">
        <f t="shared" si="225"/>
        <v>0</v>
      </c>
      <c r="K682" s="342">
        <f t="shared" si="225"/>
        <v>0</v>
      </c>
      <c r="L682" s="342">
        <f t="shared" si="225"/>
        <v>0</v>
      </c>
      <c r="M682" s="342">
        <f t="shared" si="225"/>
        <v>0</v>
      </c>
      <c r="N682" s="342">
        <f t="shared" si="225"/>
        <v>0</v>
      </c>
      <c r="O682" s="342">
        <f t="shared" si="225"/>
        <v>0</v>
      </c>
      <c r="P682" s="342">
        <f t="shared" si="225"/>
        <v>0</v>
      </c>
      <c r="Q682" s="342">
        <f t="shared" si="225"/>
        <v>0</v>
      </c>
      <c r="R682" s="342">
        <f t="shared" si="225"/>
        <v>0</v>
      </c>
      <c r="S682" s="342">
        <f t="shared" si="225"/>
        <v>0</v>
      </c>
      <c r="T682" s="342">
        <f t="shared" si="225"/>
        <v>0</v>
      </c>
      <c r="U682" s="342">
        <f t="shared" si="225"/>
        <v>0</v>
      </c>
      <c r="V682" s="342">
        <f t="shared" si="225"/>
        <v>0</v>
      </c>
      <c r="W682" s="342">
        <f t="shared" si="225"/>
        <v>0</v>
      </c>
      <c r="X682" s="342">
        <f t="shared" si="225"/>
        <v>0</v>
      </c>
      <c r="Y682" s="342">
        <f t="shared" si="225"/>
        <v>0</v>
      </c>
      <c r="Z682" s="342">
        <f t="shared" si="225"/>
        <v>0</v>
      </c>
      <c r="AA682" s="342">
        <f t="shared" si="225"/>
        <v>0</v>
      </c>
      <c r="AB682" s="342">
        <f t="shared" si="225"/>
        <v>0</v>
      </c>
      <c r="AC682" s="342">
        <f t="shared" si="225"/>
        <v>0</v>
      </c>
      <c r="AD682" s="342">
        <f t="shared" si="225"/>
        <v>0</v>
      </c>
      <c r="AE682" s="342">
        <f t="shared" si="225"/>
        <v>0</v>
      </c>
      <c r="AF682" s="342">
        <f t="shared" si="225"/>
        <v>0</v>
      </c>
      <c r="AG682" s="342">
        <f t="shared" si="225"/>
        <v>0</v>
      </c>
      <c r="AH682" s="342">
        <f t="shared" si="225"/>
        <v>0</v>
      </c>
      <c r="AI682" s="342">
        <f t="shared" si="225"/>
        <v>0</v>
      </c>
      <c r="AJ682" s="342">
        <f t="shared" si="225"/>
        <v>0</v>
      </c>
      <c r="AK682" s="342">
        <f t="shared" si="225"/>
        <v>0</v>
      </c>
      <c r="AL682" s="342">
        <f t="shared" si="225"/>
        <v>0</v>
      </c>
      <c r="AM682" s="342">
        <f t="shared" si="225"/>
        <v>0</v>
      </c>
      <c r="AN682" s="342">
        <f t="shared" si="225"/>
        <v>0</v>
      </c>
      <c r="AO682" s="342">
        <f t="shared" si="225"/>
        <v>0</v>
      </c>
      <c r="AP682" s="342">
        <f t="shared" si="225"/>
        <v>0</v>
      </c>
      <c r="AQ682" s="342">
        <f t="shared" si="225"/>
        <v>0</v>
      </c>
      <c r="AR682" s="342">
        <f t="shared" si="225"/>
        <v>0</v>
      </c>
      <c r="AS682" s="342">
        <f t="shared" si="225"/>
        <v>0</v>
      </c>
      <c r="AT682" s="342">
        <f t="shared" si="225"/>
        <v>0</v>
      </c>
      <c r="AU682" s="342">
        <f t="shared" si="225"/>
        <v>0</v>
      </c>
      <c r="AV682" s="342">
        <f t="shared" si="225"/>
        <v>0</v>
      </c>
      <c r="AW682" s="342">
        <f t="shared" si="225"/>
        <v>0</v>
      </c>
      <c r="AX682" s="342">
        <f t="shared" si="225"/>
        <v>0</v>
      </c>
      <c r="AY682" s="342">
        <f t="shared" si="225"/>
        <v>0</v>
      </c>
      <c r="AZ682" s="342">
        <f t="shared" si="225"/>
        <v>0</v>
      </c>
      <c r="BA682" s="342">
        <f t="shared" si="225"/>
        <v>0</v>
      </c>
      <c r="BB682" s="342">
        <f t="shared" si="225"/>
        <v>0</v>
      </c>
      <c r="BC682" s="342">
        <f t="shared" si="225"/>
        <v>0</v>
      </c>
      <c r="BD682" s="342">
        <f t="shared" si="225"/>
        <v>0</v>
      </c>
      <c r="BE682" s="1325">
        <f t="shared" si="225"/>
        <v>0</v>
      </c>
    </row>
    <row r="683" spans="2:57" ht="13.8" thickBot="1" x14ac:dyDescent="0.3">
      <c r="B683" s="412"/>
      <c r="C683" s="352"/>
      <c r="D683" s="352"/>
      <c r="E683" s="352"/>
      <c r="F683" s="352"/>
      <c r="G683" s="352"/>
      <c r="H683" s="353"/>
      <c r="I683" s="353"/>
      <c r="J683" s="353"/>
      <c r="K683" s="353"/>
      <c r="L683" s="353"/>
      <c r="M683" s="353"/>
      <c r="N683" s="353"/>
      <c r="O683" s="353"/>
      <c r="P683" s="353"/>
      <c r="Q683" s="353"/>
      <c r="R683" s="353"/>
      <c r="S683" s="353"/>
      <c r="T683" s="353"/>
      <c r="U683" s="353"/>
      <c r="V683" s="353"/>
      <c r="W683" s="353"/>
      <c r="X683" s="353"/>
      <c r="Y683" s="353"/>
      <c r="Z683" s="353"/>
      <c r="AA683" s="353"/>
      <c r="AB683" s="353"/>
      <c r="AC683" s="353"/>
      <c r="AD683" s="353"/>
      <c r="AE683" s="353"/>
      <c r="AF683" s="353"/>
      <c r="AG683" s="353"/>
      <c r="AH683" s="353"/>
      <c r="AI683" s="353"/>
      <c r="AJ683" s="353"/>
      <c r="AK683" s="353"/>
      <c r="AL683" s="353"/>
      <c r="AM683" s="353"/>
      <c r="AN683" s="353"/>
      <c r="AO683" s="353"/>
      <c r="AP683" s="353"/>
      <c r="AQ683" s="353"/>
      <c r="AR683" s="353"/>
      <c r="AS683" s="353"/>
      <c r="AT683" s="353"/>
      <c r="AU683" s="353"/>
      <c r="AV683" s="353"/>
      <c r="AW683" s="353"/>
      <c r="AX683" s="353"/>
      <c r="AY683" s="353"/>
      <c r="AZ683" s="353"/>
      <c r="BA683" s="353"/>
      <c r="BB683" s="353"/>
      <c r="BC683" s="353"/>
      <c r="BD683" s="353"/>
      <c r="BE683" s="413"/>
    </row>
    <row r="684" spans="2:57" x14ac:dyDescent="0.25">
      <c r="H684" s="249"/>
      <c r="I684" s="249"/>
      <c r="J684" s="249"/>
      <c r="K684" s="249"/>
      <c r="L684" s="249"/>
      <c r="M684" s="249"/>
      <c r="N684" s="249"/>
      <c r="O684" s="249"/>
      <c r="P684" s="249"/>
      <c r="Q684" s="249"/>
      <c r="R684" s="249"/>
      <c r="S684" s="249"/>
      <c r="T684" s="249"/>
      <c r="U684" s="249"/>
      <c r="V684" s="249"/>
      <c r="W684" s="249"/>
      <c r="X684" s="249"/>
      <c r="Y684" s="249"/>
      <c r="Z684" s="249"/>
      <c r="AA684" s="249"/>
      <c r="AB684" s="249"/>
      <c r="AC684" s="249"/>
      <c r="AD684" s="249"/>
      <c r="AE684" s="249"/>
      <c r="AF684" s="249"/>
      <c r="AG684" s="249"/>
      <c r="AH684" s="249"/>
      <c r="AI684" s="249"/>
      <c r="AJ684" s="249"/>
      <c r="AK684" s="249"/>
      <c r="AL684" s="249"/>
      <c r="AM684" s="249"/>
      <c r="AN684" s="249"/>
      <c r="AO684" s="249"/>
      <c r="AP684" s="249"/>
      <c r="AQ684" s="249"/>
      <c r="AR684" s="249"/>
      <c r="AS684" s="249"/>
      <c r="AT684" s="249"/>
      <c r="AU684" s="249"/>
      <c r="AV684" s="249"/>
      <c r="AW684" s="249"/>
      <c r="AX684" s="249"/>
      <c r="AY684" s="249"/>
      <c r="AZ684" s="249"/>
      <c r="BA684" s="249"/>
      <c r="BB684" s="249"/>
      <c r="BC684" s="249"/>
      <c r="BD684" s="249"/>
      <c r="BE684" s="249"/>
    </row>
    <row r="685" spans="2:57" ht="15.75" customHeight="1" thickBot="1" x14ac:dyDescent="0.3">
      <c r="H685" s="249"/>
      <c r="I685" s="249"/>
      <c r="J685" s="249"/>
      <c r="K685" s="249"/>
      <c r="L685" s="249"/>
      <c r="M685" s="249"/>
      <c r="N685" s="249"/>
      <c r="O685" s="249"/>
      <c r="P685" s="249"/>
      <c r="Q685" s="249"/>
      <c r="R685" s="249"/>
      <c r="S685" s="249"/>
      <c r="T685" s="249"/>
      <c r="U685" s="249"/>
      <c r="V685" s="249"/>
      <c r="W685" s="249"/>
      <c r="X685" s="249"/>
      <c r="Y685" s="249"/>
      <c r="Z685" s="249"/>
      <c r="AA685" s="249"/>
      <c r="AB685" s="249"/>
      <c r="AC685" s="249"/>
      <c r="AD685" s="249"/>
      <c r="AE685" s="249"/>
      <c r="AF685" s="249"/>
      <c r="AG685" s="249"/>
      <c r="AH685" s="249"/>
      <c r="AI685" s="249"/>
      <c r="AJ685" s="249"/>
      <c r="AK685" s="249"/>
      <c r="AL685" s="249"/>
      <c r="AM685" s="249"/>
      <c r="AN685" s="249"/>
      <c r="AO685" s="249"/>
      <c r="AP685" s="249"/>
      <c r="AQ685" s="249"/>
      <c r="AR685" s="249"/>
      <c r="AS685" s="249"/>
      <c r="AT685" s="249"/>
      <c r="AU685" s="249"/>
      <c r="AV685" s="249"/>
      <c r="AW685" s="249"/>
      <c r="AX685" s="249"/>
      <c r="AY685" s="249"/>
      <c r="AZ685" s="249"/>
      <c r="BA685" s="249"/>
      <c r="BB685" s="249"/>
      <c r="BC685" s="249"/>
      <c r="BD685" s="249"/>
      <c r="BE685" s="249"/>
    </row>
    <row r="686" spans="2:57" s="36" customFormat="1" x14ac:dyDescent="0.25">
      <c r="B686" s="355" t="str">
        <f>B250</f>
        <v>GEOTHERMAL</v>
      </c>
      <c r="C686" s="356"/>
      <c r="D686" s="356"/>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c r="AA686" s="356"/>
      <c r="AB686" s="356"/>
      <c r="AC686" s="356"/>
      <c r="AD686" s="356"/>
      <c r="AE686" s="356"/>
      <c r="AF686" s="356"/>
      <c r="AG686" s="356"/>
      <c r="AH686" s="356"/>
      <c r="AI686" s="356"/>
      <c r="AJ686" s="356"/>
      <c r="AK686" s="356"/>
      <c r="AL686" s="356"/>
      <c r="AM686" s="356"/>
      <c r="AN686" s="356"/>
      <c r="AO686" s="356"/>
      <c r="AP686" s="356"/>
      <c r="AQ686" s="356"/>
      <c r="AR686" s="356"/>
      <c r="AS686" s="356"/>
      <c r="AT686" s="356"/>
      <c r="AU686" s="356"/>
      <c r="AV686" s="356"/>
      <c r="AW686" s="356"/>
      <c r="AX686" s="356"/>
      <c r="AY686" s="356"/>
      <c r="AZ686" s="356"/>
      <c r="BA686" s="356"/>
      <c r="BB686" s="356"/>
      <c r="BC686" s="356"/>
      <c r="BD686" s="356"/>
      <c r="BE686" s="357"/>
    </row>
    <row r="687" spans="2:57" x14ac:dyDescent="0.25">
      <c r="B687" s="358"/>
      <c r="C687" s="359"/>
      <c r="D687" s="359"/>
      <c r="E687" s="359"/>
      <c r="F687" s="359"/>
      <c r="G687" s="359"/>
      <c r="H687" s="359"/>
      <c r="I687" s="359"/>
      <c r="J687" s="359"/>
      <c r="K687" s="359"/>
      <c r="L687" s="359"/>
      <c r="M687" s="359"/>
      <c r="N687" s="359"/>
      <c r="O687" s="359"/>
      <c r="P687" s="359"/>
      <c r="Q687" s="359"/>
      <c r="R687" s="359"/>
      <c r="S687" s="359"/>
      <c r="T687" s="359"/>
      <c r="U687" s="359"/>
      <c r="V687" s="359"/>
      <c r="W687" s="359"/>
      <c r="X687" s="359"/>
      <c r="Y687" s="359"/>
      <c r="Z687" s="359"/>
      <c r="AA687" s="359"/>
      <c r="AB687" s="359"/>
      <c r="AC687" s="359"/>
      <c r="AD687" s="359"/>
      <c r="AE687" s="359"/>
      <c r="AF687" s="359"/>
      <c r="AG687" s="359"/>
      <c r="AH687" s="359"/>
      <c r="AI687" s="359"/>
      <c r="AJ687" s="359"/>
      <c r="AK687" s="359"/>
      <c r="AL687" s="359"/>
      <c r="AM687" s="359"/>
      <c r="AN687" s="359"/>
      <c r="AO687" s="359"/>
      <c r="AP687" s="359"/>
      <c r="AQ687" s="359"/>
      <c r="AR687" s="359"/>
      <c r="AS687" s="359"/>
      <c r="AT687" s="359"/>
      <c r="AU687" s="359"/>
      <c r="AV687" s="359"/>
      <c r="AW687" s="359"/>
      <c r="AX687" s="359"/>
      <c r="AY687" s="359"/>
      <c r="AZ687" s="359"/>
      <c r="BA687" s="359"/>
      <c r="BB687" s="359"/>
      <c r="BC687" s="359"/>
      <c r="BD687" s="359"/>
      <c r="BE687" s="360"/>
    </row>
    <row r="688" spans="2:57" x14ac:dyDescent="0.25">
      <c r="B688" s="370" t="s">
        <v>257</v>
      </c>
      <c r="C688" s="359"/>
      <c r="D688" s="359"/>
      <c r="E688" s="359"/>
      <c r="F688" s="359"/>
      <c r="G688" s="359"/>
      <c r="H688" s="359"/>
      <c r="I688" s="359"/>
      <c r="J688" s="359"/>
      <c r="K688" s="359"/>
      <c r="L688" s="359"/>
      <c r="M688" s="359"/>
      <c r="N688" s="359"/>
      <c r="O688" s="359"/>
      <c r="P688" s="359"/>
      <c r="Q688" s="359"/>
      <c r="R688" s="359"/>
      <c r="S688" s="359"/>
      <c r="T688" s="359"/>
      <c r="U688" s="359"/>
      <c r="V688" s="359"/>
      <c r="W688" s="359"/>
      <c r="X688" s="359"/>
      <c r="Y688" s="359"/>
      <c r="Z688" s="359"/>
      <c r="AA688" s="359"/>
      <c r="AB688" s="359"/>
      <c r="AC688" s="359"/>
      <c r="AD688" s="359"/>
      <c r="AE688" s="359"/>
      <c r="AF688" s="359"/>
      <c r="AG688" s="359"/>
      <c r="AH688" s="359"/>
      <c r="AI688" s="359"/>
      <c r="AJ688" s="359"/>
      <c r="AK688" s="359"/>
      <c r="AL688" s="359"/>
      <c r="AM688" s="359"/>
      <c r="AN688" s="359"/>
      <c r="AO688" s="359"/>
      <c r="AP688" s="359"/>
      <c r="AQ688" s="359"/>
      <c r="AR688" s="359"/>
      <c r="AS688" s="359"/>
      <c r="AT688" s="359"/>
      <c r="AU688" s="359"/>
      <c r="AV688" s="359"/>
      <c r="AW688" s="359"/>
      <c r="AX688" s="359"/>
      <c r="AY688" s="359"/>
      <c r="AZ688" s="359"/>
      <c r="BA688" s="359"/>
      <c r="BB688" s="359"/>
      <c r="BC688" s="359"/>
      <c r="BD688" s="359"/>
      <c r="BE688" s="360"/>
    </row>
    <row r="689" spans="2:57" x14ac:dyDescent="0.25">
      <c r="B689" s="358"/>
      <c r="C689" s="414" t="s">
        <v>68</v>
      </c>
      <c r="D689" s="362" t="s">
        <v>22</v>
      </c>
      <c r="E689" s="359"/>
      <c r="F689" s="359"/>
      <c r="G689" s="369">
        <f>IF('II. Inputs, Baseline Energy Mix'!$S$15&gt;0,('II. Inputs, Baseline Energy Mix'!$S$16*'II. Inputs, Baseline Energy Mix'!$S$17*'II. Inputs, Baseline Energy Mix'!$S$30*'II. Inputs, Baseline Energy Mix'!$S$32),0)</f>
        <v>0</v>
      </c>
      <c r="H689" s="359"/>
      <c r="I689" s="359"/>
      <c r="J689" s="359"/>
      <c r="K689" s="359"/>
      <c r="L689" s="359"/>
      <c r="M689" s="359"/>
      <c r="N689" s="359"/>
      <c r="O689" s="359"/>
      <c r="P689" s="359"/>
      <c r="Q689" s="359"/>
      <c r="R689" s="359"/>
      <c r="S689" s="359"/>
      <c r="T689" s="359"/>
      <c r="U689" s="359"/>
      <c r="V689" s="359"/>
      <c r="W689" s="359"/>
      <c r="X689" s="359"/>
      <c r="Y689" s="359"/>
      <c r="Z689" s="359"/>
      <c r="AA689" s="359"/>
      <c r="AB689" s="359"/>
      <c r="AC689" s="359"/>
      <c r="AD689" s="359"/>
      <c r="AE689" s="359"/>
      <c r="AF689" s="359"/>
      <c r="AG689" s="359"/>
      <c r="AH689" s="359"/>
      <c r="AI689" s="359"/>
      <c r="AJ689" s="359"/>
      <c r="AK689" s="359"/>
      <c r="AL689" s="359"/>
      <c r="AM689" s="359"/>
      <c r="AN689" s="359"/>
      <c r="AO689" s="359"/>
      <c r="AP689" s="359"/>
      <c r="AQ689" s="359"/>
      <c r="AR689" s="359"/>
      <c r="AS689" s="359"/>
      <c r="AT689" s="359"/>
      <c r="AU689" s="359"/>
      <c r="AV689" s="359"/>
      <c r="AW689" s="359"/>
      <c r="AX689" s="359"/>
      <c r="AY689" s="359"/>
      <c r="AZ689" s="359"/>
      <c r="BA689" s="359"/>
      <c r="BB689" s="359"/>
      <c r="BC689" s="359"/>
      <c r="BD689" s="359"/>
      <c r="BE689" s="360"/>
    </row>
    <row r="690" spans="2:57" x14ac:dyDescent="0.25">
      <c r="B690" s="358"/>
      <c r="C690" s="414" t="s">
        <v>69</v>
      </c>
      <c r="D690" s="362" t="s">
        <v>20</v>
      </c>
      <c r="E690" s="359"/>
      <c r="F690" s="359"/>
      <c r="G690" s="361">
        <f>SUM('II. Inputs, Baseline Energy Mix'!$S$69)</f>
        <v>0</v>
      </c>
      <c r="H690" s="359"/>
      <c r="I690" s="359"/>
      <c r="J690" s="359"/>
      <c r="K690" s="359"/>
      <c r="L690" s="359"/>
      <c r="M690" s="359"/>
      <c r="N690" s="359"/>
      <c r="O690" s="359"/>
      <c r="P690" s="359"/>
      <c r="Q690" s="359"/>
      <c r="R690" s="359"/>
      <c r="S690" s="359"/>
      <c r="T690" s="359"/>
      <c r="U690" s="359"/>
      <c r="V690" s="359"/>
      <c r="W690" s="359"/>
      <c r="X690" s="359"/>
      <c r="Y690" s="359"/>
      <c r="Z690" s="359"/>
      <c r="AA690" s="359"/>
      <c r="AB690" s="359"/>
      <c r="AC690" s="359"/>
      <c r="AD690" s="359"/>
      <c r="AE690" s="359"/>
      <c r="AF690" s="359"/>
      <c r="AG690" s="359"/>
      <c r="AH690" s="359"/>
      <c r="AI690" s="359"/>
      <c r="AJ690" s="359"/>
      <c r="AK690" s="359"/>
      <c r="AL690" s="359"/>
      <c r="AM690" s="359"/>
      <c r="AN690" s="359"/>
      <c r="AO690" s="359"/>
      <c r="AP690" s="359"/>
      <c r="AQ690" s="359"/>
      <c r="AR690" s="359"/>
      <c r="AS690" s="359"/>
      <c r="AT690" s="359"/>
      <c r="AU690" s="359"/>
      <c r="AV690" s="359"/>
      <c r="AW690" s="359"/>
      <c r="AX690" s="359"/>
      <c r="AY690" s="359"/>
      <c r="AZ690" s="359"/>
      <c r="BA690" s="359"/>
      <c r="BB690" s="359"/>
      <c r="BC690" s="359"/>
      <c r="BD690" s="359"/>
      <c r="BE690" s="360"/>
    </row>
    <row r="691" spans="2:57" x14ac:dyDescent="0.25">
      <c r="B691" s="358"/>
      <c r="C691" s="414" t="s">
        <v>70</v>
      </c>
      <c r="D691" s="362" t="s">
        <v>16</v>
      </c>
      <c r="E691" s="359"/>
      <c r="F691" s="359"/>
      <c r="G691" s="415">
        <f>SUM('II. Inputs, Baseline Energy Mix'!$S$68)</f>
        <v>0</v>
      </c>
      <c r="H691" s="359"/>
      <c r="I691" s="359"/>
      <c r="J691" s="359"/>
      <c r="K691" s="359"/>
      <c r="L691" s="359"/>
      <c r="M691" s="359"/>
      <c r="N691" s="359"/>
      <c r="O691" s="359"/>
      <c r="P691" s="359"/>
      <c r="Q691" s="359"/>
      <c r="R691" s="359"/>
      <c r="S691" s="359"/>
      <c r="T691" s="359"/>
      <c r="U691" s="359"/>
      <c r="V691" s="359"/>
      <c r="W691" s="359"/>
      <c r="X691" s="359"/>
      <c r="Y691" s="359"/>
      <c r="Z691" s="359"/>
      <c r="AA691" s="359"/>
      <c r="AB691" s="359"/>
      <c r="AC691" s="359"/>
      <c r="AD691" s="359"/>
      <c r="AE691" s="359"/>
      <c r="AF691" s="359"/>
      <c r="AG691" s="359"/>
      <c r="AH691" s="359"/>
      <c r="AI691" s="359"/>
      <c r="AJ691" s="359"/>
      <c r="AK691" s="359"/>
      <c r="AL691" s="359"/>
      <c r="AM691" s="359"/>
      <c r="AN691" s="359"/>
      <c r="AO691" s="359"/>
      <c r="AP691" s="359"/>
      <c r="AQ691" s="359"/>
      <c r="AR691" s="359"/>
      <c r="AS691" s="359"/>
      <c r="AT691" s="359"/>
      <c r="AU691" s="359"/>
      <c r="AV691" s="359"/>
      <c r="AW691" s="359"/>
      <c r="AX691" s="359"/>
      <c r="AY691" s="359"/>
      <c r="AZ691" s="359"/>
      <c r="BA691" s="359"/>
      <c r="BB691" s="359"/>
      <c r="BC691" s="359"/>
      <c r="BD691" s="359"/>
      <c r="BE691" s="360"/>
    </row>
    <row r="692" spans="2:57" x14ac:dyDescent="0.25">
      <c r="B692" s="358"/>
      <c r="C692" s="359"/>
      <c r="D692" s="359"/>
      <c r="E692" s="359"/>
      <c r="F692" s="359"/>
      <c r="G692" s="359"/>
      <c r="H692" s="359"/>
      <c r="I692" s="359"/>
      <c r="J692" s="359"/>
      <c r="K692" s="359"/>
      <c r="L692" s="359"/>
      <c r="M692" s="359"/>
      <c r="N692" s="359"/>
      <c r="O692" s="359"/>
      <c r="P692" s="359"/>
      <c r="Q692" s="359"/>
      <c r="R692" s="359"/>
      <c r="S692" s="359"/>
      <c r="T692" s="359"/>
      <c r="U692" s="359"/>
      <c r="V692" s="359"/>
      <c r="W692" s="359"/>
      <c r="X692" s="359"/>
      <c r="Y692" s="359"/>
      <c r="Z692" s="359"/>
      <c r="AA692" s="359"/>
      <c r="AB692" s="359"/>
      <c r="AC692" s="359"/>
      <c r="AD692" s="359"/>
      <c r="AE692" s="359"/>
      <c r="AF692" s="359"/>
      <c r="AG692" s="359"/>
      <c r="AH692" s="359"/>
      <c r="AI692" s="359"/>
      <c r="AJ692" s="359"/>
      <c r="AK692" s="359"/>
      <c r="AL692" s="359"/>
      <c r="AM692" s="359"/>
      <c r="AN692" s="359"/>
      <c r="AO692" s="359"/>
      <c r="AP692" s="359"/>
      <c r="AQ692" s="359"/>
      <c r="AR692" s="359"/>
      <c r="AS692" s="359"/>
      <c r="AT692" s="359"/>
      <c r="AU692" s="359"/>
      <c r="AV692" s="359"/>
      <c r="AW692" s="359"/>
      <c r="AX692" s="359"/>
      <c r="AY692" s="359"/>
      <c r="AZ692" s="359"/>
      <c r="BA692" s="359"/>
      <c r="BB692" s="359"/>
      <c r="BC692" s="359"/>
      <c r="BD692" s="359"/>
      <c r="BE692" s="360"/>
    </row>
    <row r="693" spans="2:57" x14ac:dyDescent="0.25">
      <c r="B693" s="358"/>
      <c r="C693" s="416" t="s">
        <v>67</v>
      </c>
      <c r="D693" s="359"/>
      <c r="E693" s="359"/>
      <c r="F693" s="359"/>
      <c r="G693" s="359"/>
      <c r="H693" s="359"/>
      <c r="I693" s="359"/>
      <c r="J693" s="359"/>
      <c r="K693" s="359"/>
      <c r="L693" s="359"/>
      <c r="M693" s="359"/>
      <c r="N693" s="359"/>
      <c r="O693" s="359"/>
      <c r="P693" s="359"/>
      <c r="Q693" s="359"/>
      <c r="R693" s="359"/>
      <c r="S693" s="359"/>
      <c r="T693" s="359"/>
      <c r="U693" s="359"/>
      <c r="V693" s="359"/>
      <c r="W693" s="359"/>
      <c r="X693" s="359"/>
      <c r="Y693" s="359"/>
      <c r="Z693" s="359"/>
      <c r="AA693" s="359"/>
      <c r="AB693" s="359"/>
      <c r="AC693" s="359"/>
      <c r="AD693" s="359"/>
      <c r="AE693" s="359"/>
      <c r="AF693" s="359"/>
      <c r="AG693" s="359"/>
      <c r="AH693" s="359"/>
      <c r="AI693" s="359"/>
      <c r="AJ693" s="359"/>
      <c r="AK693" s="359"/>
      <c r="AL693" s="359"/>
      <c r="AM693" s="359"/>
      <c r="AN693" s="359"/>
      <c r="AO693" s="359"/>
      <c r="AP693" s="359"/>
      <c r="AQ693" s="359"/>
      <c r="AR693" s="359"/>
      <c r="AS693" s="359"/>
      <c r="AT693" s="359"/>
      <c r="AU693" s="359"/>
      <c r="AV693" s="359"/>
      <c r="AW693" s="359"/>
      <c r="AX693" s="359"/>
      <c r="AY693" s="359"/>
      <c r="AZ693" s="359"/>
      <c r="BA693" s="359"/>
      <c r="BB693" s="359"/>
      <c r="BC693" s="359"/>
      <c r="BD693" s="359"/>
      <c r="BE693" s="360"/>
    </row>
    <row r="694" spans="2:57" x14ac:dyDescent="0.25">
      <c r="B694" s="358"/>
      <c r="C694" s="359" t="s">
        <v>73</v>
      </c>
      <c r="D694" s="359"/>
      <c r="E694" s="359"/>
      <c r="F694" s="359"/>
      <c r="G694" s="369"/>
      <c r="H694" s="369">
        <f>IF(H$299&gt;$G690,0,IPMT($G691,H$299,$G690,-$G689))</f>
        <v>0</v>
      </c>
      <c r="I694" s="369">
        <f>IF(I$299&gt;$G690,0,IPMT($G691,I$299,$G690,-$G689))</f>
        <v>0</v>
      </c>
      <c r="J694" s="369">
        <f>IF(J$299&gt;$G690,0,IPMT($G691,J$299,$G690,-$G689))</f>
        <v>0</v>
      </c>
      <c r="K694" s="369">
        <f>IF(K$299&gt;$G690,0,IPMT($G691,K$299,$G690,-$G689))</f>
        <v>0</v>
      </c>
      <c r="L694" s="369">
        <f t="shared" ref="L694:BE694" si="226">IF(L$299&gt;$G690,0,IPMT($G691,L$299,$G690,-$G689))</f>
        <v>0</v>
      </c>
      <c r="M694" s="369">
        <f t="shared" si="226"/>
        <v>0</v>
      </c>
      <c r="N694" s="369">
        <f t="shared" si="226"/>
        <v>0</v>
      </c>
      <c r="O694" s="369">
        <f t="shared" si="226"/>
        <v>0</v>
      </c>
      <c r="P694" s="369">
        <f t="shared" si="226"/>
        <v>0</v>
      </c>
      <c r="Q694" s="369">
        <f t="shared" si="226"/>
        <v>0</v>
      </c>
      <c r="R694" s="369">
        <f t="shared" si="226"/>
        <v>0</v>
      </c>
      <c r="S694" s="369">
        <f t="shared" si="226"/>
        <v>0</v>
      </c>
      <c r="T694" s="369">
        <f t="shared" si="226"/>
        <v>0</v>
      </c>
      <c r="U694" s="369">
        <f t="shared" si="226"/>
        <v>0</v>
      </c>
      <c r="V694" s="369">
        <f t="shared" si="226"/>
        <v>0</v>
      </c>
      <c r="W694" s="369">
        <f t="shared" si="226"/>
        <v>0</v>
      </c>
      <c r="X694" s="369">
        <f t="shared" si="226"/>
        <v>0</v>
      </c>
      <c r="Y694" s="369">
        <f t="shared" si="226"/>
        <v>0</v>
      </c>
      <c r="Z694" s="369">
        <f t="shared" si="226"/>
        <v>0</v>
      </c>
      <c r="AA694" s="369">
        <f t="shared" si="226"/>
        <v>0</v>
      </c>
      <c r="AB694" s="369">
        <f t="shared" si="226"/>
        <v>0</v>
      </c>
      <c r="AC694" s="369">
        <f t="shared" si="226"/>
        <v>0</v>
      </c>
      <c r="AD694" s="369">
        <f t="shared" si="226"/>
        <v>0</v>
      </c>
      <c r="AE694" s="369">
        <f t="shared" si="226"/>
        <v>0</v>
      </c>
      <c r="AF694" s="369">
        <f t="shared" si="226"/>
        <v>0</v>
      </c>
      <c r="AG694" s="369">
        <f t="shared" si="226"/>
        <v>0</v>
      </c>
      <c r="AH694" s="369">
        <f t="shared" si="226"/>
        <v>0</v>
      </c>
      <c r="AI694" s="369">
        <f t="shared" si="226"/>
        <v>0</v>
      </c>
      <c r="AJ694" s="369">
        <f t="shared" si="226"/>
        <v>0</v>
      </c>
      <c r="AK694" s="369">
        <f t="shared" si="226"/>
        <v>0</v>
      </c>
      <c r="AL694" s="369">
        <f t="shared" si="226"/>
        <v>0</v>
      </c>
      <c r="AM694" s="369">
        <f t="shared" si="226"/>
        <v>0</v>
      </c>
      <c r="AN694" s="369">
        <f t="shared" si="226"/>
        <v>0</v>
      </c>
      <c r="AO694" s="369">
        <f t="shared" si="226"/>
        <v>0</v>
      </c>
      <c r="AP694" s="369">
        <f t="shared" si="226"/>
        <v>0</v>
      </c>
      <c r="AQ694" s="369">
        <f t="shared" si="226"/>
        <v>0</v>
      </c>
      <c r="AR694" s="369">
        <f t="shared" si="226"/>
        <v>0</v>
      </c>
      <c r="AS694" s="369">
        <f t="shared" si="226"/>
        <v>0</v>
      </c>
      <c r="AT694" s="369">
        <f t="shared" si="226"/>
        <v>0</v>
      </c>
      <c r="AU694" s="369">
        <f t="shared" si="226"/>
        <v>0</v>
      </c>
      <c r="AV694" s="369">
        <f t="shared" si="226"/>
        <v>0</v>
      </c>
      <c r="AW694" s="369">
        <f t="shared" si="226"/>
        <v>0</v>
      </c>
      <c r="AX694" s="369">
        <f t="shared" si="226"/>
        <v>0</v>
      </c>
      <c r="AY694" s="369">
        <f t="shared" si="226"/>
        <v>0</v>
      </c>
      <c r="AZ694" s="369">
        <f t="shared" si="226"/>
        <v>0</v>
      </c>
      <c r="BA694" s="369">
        <f t="shared" si="226"/>
        <v>0</v>
      </c>
      <c r="BB694" s="369">
        <f t="shared" si="226"/>
        <v>0</v>
      </c>
      <c r="BC694" s="369">
        <f t="shared" si="226"/>
        <v>0</v>
      </c>
      <c r="BD694" s="369">
        <f t="shared" si="226"/>
        <v>0</v>
      </c>
      <c r="BE694" s="1335">
        <f t="shared" si="226"/>
        <v>0</v>
      </c>
    </row>
    <row r="695" spans="2:57" x14ac:dyDescent="0.25">
      <c r="B695" s="358"/>
      <c r="C695" s="366" t="s">
        <v>72</v>
      </c>
      <c r="D695" s="366"/>
      <c r="E695" s="366"/>
      <c r="F695" s="366"/>
      <c r="G695" s="1336"/>
      <c r="H695" s="1336">
        <f>IF(H$299&gt;$G690,0,PPMT($G691,H$299,$G690,-$G689))</f>
        <v>0</v>
      </c>
      <c r="I695" s="1336">
        <f>IF(I$299&gt;$G690,0,PPMT($G691,I$299,$G690,-$G689))</f>
        <v>0</v>
      </c>
      <c r="J695" s="1336">
        <f>IF(J$299&gt;$G690,0,PPMT($G691,J$299,$G690,-$G689))</f>
        <v>0</v>
      </c>
      <c r="K695" s="1336">
        <f>IF(K$299&gt;$G690,0,PPMT($G691,K$299,$G690,-$G689))</f>
        <v>0</v>
      </c>
      <c r="L695" s="1336">
        <f t="shared" ref="L695:BE695" si="227">IF(L$299&gt;$G690,0,PPMT($G691,L$299,$G690,-$G689))</f>
        <v>0</v>
      </c>
      <c r="M695" s="1336">
        <f t="shared" si="227"/>
        <v>0</v>
      </c>
      <c r="N695" s="1336">
        <f t="shared" si="227"/>
        <v>0</v>
      </c>
      <c r="O695" s="1336">
        <f t="shared" si="227"/>
        <v>0</v>
      </c>
      <c r="P695" s="1336">
        <f t="shared" si="227"/>
        <v>0</v>
      </c>
      <c r="Q695" s="1336">
        <f t="shared" si="227"/>
        <v>0</v>
      </c>
      <c r="R695" s="1336">
        <f t="shared" si="227"/>
        <v>0</v>
      </c>
      <c r="S695" s="1336">
        <f t="shared" si="227"/>
        <v>0</v>
      </c>
      <c r="T695" s="1336">
        <f t="shared" si="227"/>
        <v>0</v>
      </c>
      <c r="U695" s="1336">
        <f t="shared" si="227"/>
        <v>0</v>
      </c>
      <c r="V695" s="1336">
        <f t="shared" si="227"/>
        <v>0</v>
      </c>
      <c r="W695" s="1336">
        <f t="shared" si="227"/>
        <v>0</v>
      </c>
      <c r="X695" s="1336">
        <f t="shared" si="227"/>
        <v>0</v>
      </c>
      <c r="Y695" s="1336">
        <f t="shared" si="227"/>
        <v>0</v>
      </c>
      <c r="Z695" s="1336">
        <f t="shared" si="227"/>
        <v>0</v>
      </c>
      <c r="AA695" s="1336">
        <f t="shared" si="227"/>
        <v>0</v>
      </c>
      <c r="AB695" s="1336">
        <f t="shared" si="227"/>
        <v>0</v>
      </c>
      <c r="AC695" s="1336">
        <f t="shared" si="227"/>
        <v>0</v>
      </c>
      <c r="AD695" s="1336">
        <f t="shared" si="227"/>
        <v>0</v>
      </c>
      <c r="AE695" s="1336">
        <f t="shared" si="227"/>
        <v>0</v>
      </c>
      <c r="AF695" s="1336">
        <f t="shared" si="227"/>
        <v>0</v>
      </c>
      <c r="AG695" s="1336">
        <f t="shared" si="227"/>
        <v>0</v>
      </c>
      <c r="AH695" s="1336">
        <f t="shared" si="227"/>
        <v>0</v>
      </c>
      <c r="AI695" s="1336">
        <f t="shared" si="227"/>
        <v>0</v>
      </c>
      <c r="AJ695" s="1336">
        <f t="shared" si="227"/>
        <v>0</v>
      </c>
      <c r="AK695" s="1336">
        <f t="shared" si="227"/>
        <v>0</v>
      </c>
      <c r="AL695" s="1336">
        <f t="shared" si="227"/>
        <v>0</v>
      </c>
      <c r="AM695" s="1336">
        <f t="shared" si="227"/>
        <v>0</v>
      </c>
      <c r="AN695" s="1336">
        <f t="shared" si="227"/>
        <v>0</v>
      </c>
      <c r="AO695" s="1336">
        <f t="shared" si="227"/>
        <v>0</v>
      </c>
      <c r="AP695" s="1336">
        <f t="shared" si="227"/>
        <v>0</v>
      </c>
      <c r="AQ695" s="1336">
        <f t="shared" si="227"/>
        <v>0</v>
      </c>
      <c r="AR695" s="1336">
        <f t="shared" si="227"/>
        <v>0</v>
      </c>
      <c r="AS695" s="1336">
        <f t="shared" si="227"/>
        <v>0</v>
      </c>
      <c r="AT695" s="1336">
        <f t="shared" si="227"/>
        <v>0</v>
      </c>
      <c r="AU695" s="1336">
        <f t="shared" si="227"/>
        <v>0</v>
      </c>
      <c r="AV695" s="1336">
        <f t="shared" si="227"/>
        <v>0</v>
      </c>
      <c r="AW695" s="1336">
        <f t="shared" si="227"/>
        <v>0</v>
      </c>
      <c r="AX695" s="1336">
        <f t="shared" si="227"/>
        <v>0</v>
      </c>
      <c r="AY695" s="1336">
        <f t="shared" si="227"/>
        <v>0</v>
      </c>
      <c r="AZ695" s="1336">
        <f t="shared" si="227"/>
        <v>0</v>
      </c>
      <c r="BA695" s="1336">
        <f t="shared" si="227"/>
        <v>0</v>
      </c>
      <c r="BB695" s="1336">
        <f t="shared" si="227"/>
        <v>0</v>
      </c>
      <c r="BC695" s="1336">
        <f t="shared" si="227"/>
        <v>0</v>
      </c>
      <c r="BD695" s="1336">
        <f t="shared" si="227"/>
        <v>0</v>
      </c>
      <c r="BE695" s="1337">
        <f t="shared" si="227"/>
        <v>0</v>
      </c>
    </row>
    <row r="696" spans="2:57" x14ac:dyDescent="0.25">
      <c r="B696" s="358"/>
      <c r="C696" s="359" t="s">
        <v>74</v>
      </c>
      <c r="D696" s="359"/>
      <c r="E696" s="359"/>
      <c r="F696" s="359"/>
      <c r="G696" s="369"/>
      <c r="H696" s="369">
        <f>SUM(H694:H695)</f>
        <v>0</v>
      </c>
      <c r="I696" s="369">
        <f t="shared" ref="I696:BE696" si="228">SUM(I694:I695)</f>
        <v>0</v>
      </c>
      <c r="J696" s="369">
        <f t="shared" si="228"/>
        <v>0</v>
      </c>
      <c r="K696" s="369">
        <f t="shared" si="228"/>
        <v>0</v>
      </c>
      <c r="L696" s="369">
        <f t="shared" si="228"/>
        <v>0</v>
      </c>
      <c r="M696" s="369">
        <f t="shared" si="228"/>
        <v>0</v>
      </c>
      <c r="N696" s="369">
        <f t="shared" si="228"/>
        <v>0</v>
      </c>
      <c r="O696" s="369">
        <f t="shared" si="228"/>
        <v>0</v>
      </c>
      <c r="P696" s="369">
        <f t="shared" si="228"/>
        <v>0</v>
      </c>
      <c r="Q696" s="369">
        <f t="shared" si="228"/>
        <v>0</v>
      </c>
      <c r="R696" s="369">
        <f t="shared" si="228"/>
        <v>0</v>
      </c>
      <c r="S696" s="369">
        <f t="shared" si="228"/>
        <v>0</v>
      </c>
      <c r="T696" s="369">
        <f t="shared" si="228"/>
        <v>0</v>
      </c>
      <c r="U696" s="369">
        <f t="shared" si="228"/>
        <v>0</v>
      </c>
      <c r="V696" s="369">
        <f t="shared" si="228"/>
        <v>0</v>
      </c>
      <c r="W696" s="369">
        <f t="shared" si="228"/>
        <v>0</v>
      </c>
      <c r="X696" s="369">
        <f t="shared" si="228"/>
        <v>0</v>
      </c>
      <c r="Y696" s="369">
        <f t="shared" si="228"/>
        <v>0</v>
      </c>
      <c r="Z696" s="369">
        <f t="shared" si="228"/>
        <v>0</v>
      </c>
      <c r="AA696" s="369">
        <f t="shared" si="228"/>
        <v>0</v>
      </c>
      <c r="AB696" s="369">
        <f t="shared" si="228"/>
        <v>0</v>
      </c>
      <c r="AC696" s="369">
        <f t="shared" si="228"/>
        <v>0</v>
      </c>
      <c r="AD696" s="369">
        <f t="shared" si="228"/>
        <v>0</v>
      </c>
      <c r="AE696" s="369">
        <f t="shared" si="228"/>
        <v>0</v>
      </c>
      <c r="AF696" s="369">
        <f t="shared" si="228"/>
        <v>0</v>
      </c>
      <c r="AG696" s="369">
        <f t="shared" si="228"/>
        <v>0</v>
      </c>
      <c r="AH696" s="369">
        <f t="shared" si="228"/>
        <v>0</v>
      </c>
      <c r="AI696" s="369">
        <f t="shared" si="228"/>
        <v>0</v>
      </c>
      <c r="AJ696" s="369">
        <f t="shared" si="228"/>
        <v>0</v>
      </c>
      <c r="AK696" s="369">
        <f t="shared" si="228"/>
        <v>0</v>
      </c>
      <c r="AL696" s="369">
        <f t="shared" si="228"/>
        <v>0</v>
      </c>
      <c r="AM696" s="369">
        <f t="shared" si="228"/>
        <v>0</v>
      </c>
      <c r="AN696" s="369">
        <f t="shared" si="228"/>
        <v>0</v>
      </c>
      <c r="AO696" s="369">
        <f t="shared" si="228"/>
        <v>0</v>
      </c>
      <c r="AP696" s="369">
        <f t="shared" si="228"/>
        <v>0</v>
      </c>
      <c r="AQ696" s="369">
        <f t="shared" si="228"/>
        <v>0</v>
      </c>
      <c r="AR696" s="369">
        <f t="shared" si="228"/>
        <v>0</v>
      </c>
      <c r="AS696" s="369">
        <f t="shared" si="228"/>
        <v>0</v>
      </c>
      <c r="AT696" s="369">
        <f t="shared" si="228"/>
        <v>0</v>
      </c>
      <c r="AU696" s="369">
        <f t="shared" si="228"/>
        <v>0</v>
      </c>
      <c r="AV696" s="369">
        <f t="shared" si="228"/>
        <v>0</v>
      </c>
      <c r="AW696" s="369">
        <f t="shared" si="228"/>
        <v>0</v>
      </c>
      <c r="AX696" s="369">
        <f t="shared" si="228"/>
        <v>0</v>
      </c>
      <c r="AY696" s="369">
        <f t="shared" si="228"/>
        <v>0</v>
      </c>
      <c r="AZ696" s="369">
        <f t="shared" si="228"/>
        <v>0</v>
      </c>
      <c r="BA696" s="369">
        <f t="shared" si="228"/>
        <v>0</v>
      </c>
      <c r="BB696" s="369">
        <f t="shared" si="228"/>
        <v>0</v>
      </c>
      <c r="BC696" s="369">
        <f t="shared" si="228"/>
        <v>0</v>
      </c>
      <c r="BD696" s="369">
        <f t="shared" si="228"/>
        <v>0</v>
      </c>
      <c r="BE696" s="1335">
        <f t="shared" si="228"/>
        <v>0</v>
      </c>
    </row>
    <row r="697" spans="2:57" x14ac:dyDescent="0.25">
      <c r="B697" s="358"/>
      <c r="C697" s="359"/>
      <c r="D697" s="359"/>
      <c r="E697" s="359"/>
      <c r="F697" s="359"/>
      <c r="G697" s="369"/>
      <c r="H697" s="369"/>
      <c r="I697" s="369"/>
      <c r="J697" s="369"/>
      <c r="K697" s="369"/>
      <c r="L697" s="369"/>
      <c r="M697" s="369"/>
      <c r="N697" s="369"/>
      <c r="O697" s="369"/>
      <c r="P697" s="369"/>
      <c r="Q697" s="369"/>
      <c r="R697" s="369"/>
      <c r="S697" s="369"/>
      <c r="T697" s="369"/>
      <c r="U697" s="369"/>
      <c r="V697" s="369"/>
      <c r="W697" s="369"/>
      <c r="X697" s="369"/>
      <c r="Y697" s="369"/>
      <c r="Z697" s="369"/>
      <c r="AA697" s="369"/>
      <c r="AB697" s="369"/>
      <c r="AC697" s="369"/>
      <c r="AD697" s="369"/>
      <c r="AE697" s="369"/>
      <c r="AF697" s="369"/>
      <c r="AG697" s="369"/>
      <c r="AH697" s="369"/>
      <c r="AI697" s="369"/>
      <c r="AJ697" s="369"/>
      <c r="AK697" s="369"/>
      <c r="AL697" s="369"/>
      <c r="AM697" s="369"/>
      <c r="AN697" s="369"/>
      <c r="AO697" s="369"/>
      <c r="AP697" s="369"/>
      <c r="AQ697" s="369"/>
      <c r="AR697" s="369"/>
      <c r="AS697" s="369"/>
      <c r="AT697" s="369"/>
      <c r="AU697" s="369"/>
      <c r="AV697" s="369"/>
      <c r="AW697" s="369"/>
      <c r="AX697" s="369"/>
      <c r="AY697" s="369"/>
      <c r="AZ697" s="369"/>
      <c r="BA697" s="369"/>
      <c r="BB697" s="369"/>
      <c r="BC697" s="369"/>
      <c r="BD697" s="369"/>
      <c r="BE697" s="1335"/>
    </row>
    <row r="698" spans="2:57" x14ac:dyDescent="0.25">
      <c r="B698" s="358"/>
      <c r="C698" s="417" t="s">
        <v>65</v>
      </c>
      <c r="D698" s="359"/>
      <c r="E698" s="359"/>
      <c r="F698" s="359"/>
      <c r="G698" s="369"/>
      <c r="H698" s="369"/>
      <c r="I698" s="369"/>
      <c r="J698" s="369"/>
      <c r="K698" s="369"/>
      <c r="L698" s="369"/>
      <c r="M698" s="369"/>
      <c r="N698" s="369"/>
      <c r="O698" s="369"/>
      <c r="P698" s="369"/>
      <c r="Q698" s="369"/>
      <c r="R698" s="369"/>
      <c r="S698" s="369"/>
      <c r="T698" s="369"/>
      <c r="U698" s="369"/>
      <c r="V698" s="369"/>
      <c r="W698" s="369"/>
      <c r="X698" s="369"/>
      <c r="Y698" s="369"/>
      <c r="Z698" s="369"/>
      <c r="AA698" s="369"/>
      <c r="AB698" s="369"/>
      <c r="AC698" s="369"/>
      <c r="AD698" s="369"/>
      <c r="AE698" s="369"/>
      <c r="AF698" s="369"/>
      <c r="AG698" s="369"/>
      <c r="AH698" s="369"/>
      <c r="AI698" s="369"/>
      <c r="AJ698" s="369"/>
      <c r="AK698" s="369"/>
      <c r="AL698" s="369"/>
      <c r="AM698" s="369"/>
      <c r="AN698" s="369"/>
      <c r="AO698" s="369"/>
      <c r="AP698" s="369"/>
      <c r="AQ698" s="369"/>
      <c r="AR698" s="369"/>
      <c r="AS698" s="369"/>
      <c r="AT698" s="369"/>
      <c r="AU698" s="369"/>
      <c r="AV698" s="369"/>
      <c r="AW698" s="369"/>
      <c r="AX698" s="369"/>
      <c r="AY698" s="369"/>
      <c r="AZ698" s="369"/>
      <c r="BA698" s="369"/>
      <c r="BB698" s="369"/>
      <c r="BC698" s="369"/>
      <c r="BD698" s="369"/>
      <c r="BE698" s="1335"/>
    </row>
    <row r="699" spans="2:57" x14ac:dyDescent="0.25">
      <c r="B699" s="358"/>
      <c r="C699" s="359" t="s">
        <v>75</v>
      </c>
      <c r="D699" s="359"/>
      <c r="E699" s="359"/>
      <c r="F699" s="359"/>
      <c r="G699" s="369">
        <v>0</v>
      </c>
      <c r="H699" s="369">
        <f t="shared" ref="H699:AM699" si="229">G702</f>
        <v>0</v>
      </c>
      <c r="I699" s="369">
        <f t="shared" si="229"/>
        <v>0</v>
      </c>
      <c r="J699" s="369">
        <f t="shared" si="229"/>
        <v>0</v>
      </c>
      <c r="K699" s="369">
        <f t="shared" si="229"/>
        <v>0</v>
      </c>
      <c r="L699" s="369">
        <f t="shared" si="229"/>
        <v>0</v>
      </c>
      <c r="M699" s="369">
        <f t="shared" si="229"/>
        <v>0</v>
      </c>
      <c r="N699" s="369">
        <f t="shared" si="229"/>
        <v>0</v>
      </c>
      <c r="O699" s="369">
        <f t="shared" si="229"/>
        <v>0</v>
      </c>
      <c r="P699" s="369">
        <f t="shared" si="229"/>
        <v>0</v>
      </c>
      <c r="Q699" s="369">
        <f t="shared" si="229"/>
        <v>0</v>
      </c>
      <c r="R699" s="369">
        <f t="shared" si="229"/>
        <v>0</v>
      </c>
      <c r="S699" s="369">
        <f t="shared" si="229"/>
        <v>0</v>
      </c>
      <c r="T699" s="369">
        <f t="shared" si="229"/>
        <v>0</v>
      </c>
      <c r="U699" s="369">
        <f t="shared" si="229"/>
        <v>0</v>
      </c>
      <c r="V699" s="369">
        <f t="shared" si="229"/>
        <v>0</v>
      </c>
      <c r="W699" s="369">
        <f t="shared" si="229"/>
        <v>0</v>
      </c>
      <c r="X699" s="369">
        <f t="shared" si="229"/>
        <v>0</v>
      </c>
      <c r="Y699" s="369">
        <f t="shared" si="229"/>
        <v>0</v>
      </c>
      <c r="Z699" s="369">
        <f t="shared" si="229"/>
        <v>0</v>
      </c>
      <c r="AA699" s="369">
        <f t="shared" si="229"/>
        <v>0</v>
      </c>
      <c r="AB699" s="369">
        <f t="shared" si="229"/>
        <v>0</v>
      </c>
      <c r="AC699" s="369">
        <f t="shared" si="229"/>
        <v>0</v>
      </c>
      <c r="AD699" s="369">
        <f t="shared" si="229"/>
        <v>0</v>
      </c>
      <c r="AE699" s="369">
        <f t="shared" si="229"/>
        <v>0</v>
      </c>
      <c r="AF699" s="369">
        <f t="shared" si="229"/>
        <v>0</v>
      </c>
      <c r="AG699" s="369">
        <f t="shared" si="229"/>
        <v>0</v>
      </c>
      <c r="AH699" s="369">
        <f t="shared" si="229"/>
        <v>0</v>
      </c>
      <c r="AI699" s="369">
        <f t="shared" si="229"/>
        <v>0</v>
      </c>
      <c r="AJ699" s="369">
        <f t="shared" si="229"/>
        <v>0</v>
      </c>
      <c r="AK699" s="369">
        <f t="shared" si="229"/>
        <v>0</v>
      </c>
      <c r="AL699" s="369">
        <f t="shared" si="229"/>
        <v>0</v>
      </c>
      <c r="AM699" s="369">
        <f t="shared" si="229"/>
        <v>0</v>
      </c>
      <c r="AN699" s="369">
        <f t="shared" ref="AN699:BE699" si="230">AM702</f>
        <v>0</v>
      </c>
      <c r="AO699" s="369">
        <f t="shared" si="230"/>
        <v>0</v>
      </c>
      <c r="AP699" s="369">
        <f t="shared" si="230"/>
        <v>0</v>
      </c>
      <c r="AQ699" s="369">
        <f t="shared" si="230"/>
        <v>0</v>
      </c>
      <c r="AR699" s="369">
        <f t="shared" si="230"/>
        <v>0</v>
      </c>
      <c r="AS699" s="369">
        <f t="shared" si="230"/>
        <v>0</v>
      </c>
      <c r="AT699" s="369">
        <f t="shared" si="230"/>
        <v>0</v>
      </c>
      <c r="AU699" s="369">
        <f t="shared" si="230"/>
        <v>0</v>
      </c>
      <c r="AV699" s="369">
        <f t="shared" si="230"/>
        <v>0</v>
      </c>
      <c r="AW699" s="369">
        <f t="shared" si="230"/>
        <v>0</v>
      </c>
      <c r="AX699" s="369">
        <f t="shared" si="230"/>
        <v>0</v>
      </c>
      <c r="AY699" s="369">
        <f t="shared" si="230"/>
        <v>0</v>
      </c>
      <c r="AZ699" s="369">
        <f t="shared" si="230"/>
        <v>0</v>
      </c>
      <c r="BA699" s="369">
        <f t="shared" si="230"/>
        <v>0</v>
      </c>
      <c r="BB699" s="369">
        <f t="shared" si="230"/>
        <v>0</v>
      </c>
      <c r="BC699" s="369">
        <f t="shared" si="230"/>
        <v>0</v>
      </c>
      <c r="BD699" s="369">
        <f t="shared" si="230"/>
        <v>0</v>
      </c>
      <c r="BE699" s="1335">
        <f t="shared" si="230"/>
        <v>0</v>
      </c>
    </row>
    <row r="700" spans="2:57" x14ac:dyDescent="0.25">
      <c r="B700" s="358"/>
      <c r="C700" s="359" t="s">
        <v>76</v>
      </c>
      <c r="D700" s="359"/>
      <c r="E700" s="359"/>
      <c r="F700" s="359"/>
      <c r="G700" s="369">
        <f>G689</f>
        <v>0</v>
      </c>
      <c r="H700" s="369">
        <v>0</v>
      </c>
      <c r="I700" s="369">
        <v>0</v>
      </c>
      <c r="J700" s="369">
        <v>0</v>
      </c>
      <c r="K700" s="369">
        <v>0</v>
      </c>
      <c r="L700" s="369">
        <v>0</v>
      </c>
      <c r="M700" s="369">
        <v>0</v>
      </c>
      <c r="N700" s="369">
        <v>0</v>
      </c>
      <c r="O700" s="369">
        <v>0</v>
      </c>
      <c r="P700" s="369">
        <v>0</v>
      </c>
      <c r="Q700" s="369">
        <v>0</v>
      </c>
      <c r="R700" s="369">
        <v>0</v>
      </c>
      <c r="S700" s="369">
        <v>0</v>
      </c>
      <c r="T700" s="369">
        <v>0</v>
      </c>
      <c r="U700" s="369">
        <v>0</v>
      </c>
      <c r="V700" s="369">
        <v>0</v>
      </c>
      <c r="W700" s="369">
        <v>0</v>
      </c>
      <c r="X700" s="369">
        <v>0</v>
      </c>
      <c r="Y700" s="369">
        <v>0</v>
      </c>
      <c r="Z700" s="369">
        <v>0</v>
      </c>
      <c r="AA700" s="369">
        <v>0</v>
      </c>
      <c r="AB700" s="369">
        <v>0</v>
      </c>
      <c r="AC700" s="369">
        <v>0</v>
      </c>
      <c r="AD700" s="369">
        <v>0</v>
      </c>
      <c r="AE700" s="369">
        <v>0</v>
      </c>
      <c r="AF700" s="369">
        <v>0</v>
      </c>
      <c r="AG700" s="369">
        <v>0</v>
      </c>
      <c r="AH700" s="369">
        <v>0</v>
      </c>
      <c r="AI700" s="369">
        <v>0</v>
      </c>
      <c r="AJ700" s="369">
        <v>0</v>
      </c>
      <c r="AK700" s="369">
        <v>0</v>
      </c>
      <c r="AL700" s="369">
        <v>0</v>
      </c>
      <c r="AM700" s="369">
        <v>0</v>
      </c>
      <c r="AN700" s="369">
        <v>0</v>
      </c>
      <c r="AO700" s="369">
        <v>0</v>
      </c>
      <c r="AP700" s="369">
        <v>0</v>
      </c>
      <c r="AQ700" s="369">
        <v>0</v>
      </c>
      <c r="AR700" s="369">
        <v>0</v>
      </c>
      <c r="AS700" s="369">
        <v>0</v>
      </c>
      <c r="AT700" s="369">
        <v>0</v>
      </c>
      <c r="AU700" s="369">
        <v>0</v>
      </c>
      <c r="AV700" s="369">
        <v>0</v>
      </c>
      <c r="AW700" s="369">
        <v>0</v>
      </c>
      <c r="AX700" s="369">
        <v>0</v>
      </c>
      <c r="AY700" s="369">
        <v>0</v>
      </c>
      <c r="AZ700" s="369">
        <v>0</v>
      </c>
      <c r="BA700" s="369">
        <v>0</v>
      </c>
      <c r="BB700" s="369">
        <v>0</v>
      </c>
      <c r="BC700" s="369">
        <v>0</v>
      </c>
      <c r="BD700" s="369">
        <v>0</v>
      </c>
      <c r="BE700" s="1335">
        <v>0</v>
      </c>
    </row>
    <row r="701" spans="2:57" x14ac:dyDescent="0.25">
      <c r="B701" s="358"/>
      <c r="C701" s="366" t="s">
        <v>77</v>
      </c>
      <c r="D701" s="366"/>
      <c r="E701" s="366"/>
      <c r="F701" s="366"/>
      <c r="G701" s="1336">
        <v>0</v>
      </c>
      <c r="H701" s="1336">
        <f t="shared" ref="H701:BE701" si="231">-H695</f>
        <v>0</v>
      </c>
      <c r="I701" s="1336">
        <f t="shared" si="231"/>
        <v>0</v>
      </c>
      <c r="J701" s="1336">
        <f t="shared" si="231"/>
        <v>0</v>
      </c>
      <c r="K701" s="1336">
        <f t="shared" si="231"/>
        <v>0</v>
      </c>
      <c r="L701" s="1336">
        <f t="shared" si="231"/>
        <v>0</v>
      </c>
      <c r="M701" s="1336">
        <f t="shared" si="231"/>
        <v>0</v>
      </c>
      <c r="N701" s="1336">
        <f t="shared" si="231"/>
        <v>0</v>
      </c>
      <c r="O701" s="1336">
        <f t="shared" si="231"/>
        <v>0</v>
      </c>
      <c r="P701" s="1336">
        <f t="shared" si="231"/>
        <v>0</v>
      </c>
      <c r="Q701" s="1336">
        <f t="shared" si="231"/>
        <v>0</v>
      </c>
      <c r="R701" s="1336">
        <f t="shared" si="231"/>
        <v>0</v>
      </c>
      <c r="S701" s="1336">
        <f t="shared" si="231"/>
        <v>0</v>
      </c>
      <c r="T701" s="1336">
        <f t="shared" si="231"/>
        <v>0</v>
      </c>
      <c r="U701" s="1336">
        <f t="shared" si="231"/>
        <v>0</v>
      </c>
      <c r="V701" s="1336">
        <f t="shared" si="231"/>
        <v>0</v>
      </c>
      <c r="W701" s="1336">
        <f t="shared" si="231"/>
        <v>0</v>
      </c>
      <c r="X701" s="1336">
        <f t="shared" si="231"/>
        <v>0</v>
      </c>
      <c r="Y701" s="1336">
        <f t="shared" si="231"/>
        <v>0</v>
      </c>
      <c r="Z701" s="1336">
        <f t="shared" si="231"/>
        <v>0</v>
      </c>
      <c r="AA701" s="1336">
        <f t="shared" si="231"/>
        <v>0</v>
      </c>
      <c r="AB701" s="1336">
        <f t="shared" si="231"/>
        <v>0</v>
      </c>
      <c r="AC701" s="1336">
        <f t="shared" si="231"/>
        <v>0</v>
      </c>
      <c r="AD701" s="1336">
        <f t="shared" si="231"/>
        <v>0</v>
      </c>
      <c r="AE701" s="1336">
        <f t="shared" si="231"/>
        <v>0</v>
      </c>
      <c r="AF701" s="1336">
        <f t="shared" si="231"/>
        <v>0</v>
      </c>
      <c r="AG701" s="1336">
        <f t="shared" si="231"/>
        <v>0</v>
      </c>
      <c r="AH701" s="1336">
        <f t="shared" si="231"/>
        <v>0</v>
      </c>
      <c r="AI701" s="1336">
        <f t="shared" si="231"/>
        <v>0</v>
      </c>
      <c r="AJ701" s="1336">
        <f t="shared" si="231"/>
        <v>0</v>
      </c>
      <c r="AK701" s="1336">
        <f t="shared" si="231"/>
        <v>0</v>
      </c>
      <c r="AL701" s="1336">
        <f t="shared" si="231"/>
        <v>0</v>
      </c>
      <c r="AM701" s="1336">
        <f t="shared" si="231"/>
        <v>0</v>
      </c>
      <c r="AN701" s="1336">
        <f t="shared" si="231"/>
        <v>0</v>
      </c>
      <c r="AO701" s="1336">
        <f t="shared" si="231"/>
        <v>0</v>
      </c>
      <c r="AP701" s="1336">
        <f t="shared" si="231"/>
        <v>0</v>
      </c>
      <c r="AQ701" s="1336">
        <f t="shared" si="231"/>
        <v>0</v>
      </c>
      <c r="AR701" s="1336">
        <f t="shared" si="231"/>
        <v>0</v>
      </c>
      <c r="AS701" s="1336">
        <f t="shared" si="231"/>
        <v>0</v>
      </c>
      <c r="AT701" s="1336">
        <f t="shared" si="231"/>
        <v>0</v>
      </c>
      <c r="AU701" s="1336">
        <f t="shared" si="231"/>
        <v>0</v>
      </c>
      <c r="AV701" s="1336">
        <f t="shared" si="231"/>
        <v>0</v>
      </c>
      <c r="AW701" s="1336">
        <f t="shared" si="231"/>
        <v>0</v>
      </c>
      <c r="AX701" s="1336">
        <f t="shared" si="231"/>
        <v>0</v>
      </c>
      <c r="AY701" s="1336">
        <f t="shared" si="231"/>
        <v>0</v>
      </c>
      <c r="AZ701" s="1336">
        <f t="shared" si="231"/>
        <v>0</v>
      </c>
      <c r="BA701" s="1336">
        <f t="shared" si="231"/>
        <v>0</v>
      </c>
      <c r="BB701" s="1336">
        <f t="shared" si="231"/>
        <v>0</v>
      </c>
      <c r="BC701" s="1336">
        <f t="shared" si="231"/>
        <v>0</v>
      </c>
      <c r="BD701" s="1336">
        <f t="shared" si="231"/>
        <v>0</v>
      </c>
      <c r="BE701" s="1337">
        <f t="shared" si="231"/>
        <v>0</v>
      </c>
    </row>
    <row r="702" spans="2:57" x14ac:dyDescent="0.25">
      <c r="B702" s="358"/>
      <c r="C702" s="359" t="s">
        <v>66</v>
      </c>
      <c r="D702" s="359"/>
      <c r="E702" s="359"/>
      <c r="F702" s="359"/>
      <c r="G702" s="369">
        <f t="shared" ref="G702:BE702" si="232">SUM(G699:G701)</f>
        <v>0</v>
      </c>
      <c r="H702" s="369">
        <f t="shared" si="232"/>
        <v>0</v>
      </c>
      <c r="I702" s="369">
        <f t="shared" si="232"/>
        <v>0</v>
      </c>
      <c r="J702" s="369">
        <f t="shared" si="232"/>
        <v>0</v>
      </c>
      <c r="K702" s="369">
        <f t="shared" si="232"/>
        <v>0</v>
      </c>
      <c r="L702" s="369">
        <f t="shared" si="232"/>
        <v>0</v>
      </c>
      <c r="M702" s="369">
        <f t="shared" si="232"/>
        <v>0</v>
      </c>
      <c r="N702" s="369">
        <f t="shared" si="232"/>
        <v>0</v>
      </c>
      <c r="O702" s="369">
        <f t="shared" si="232"/>
        <v>0</v>
      </c>
      <c r="P702" s="369">
        <f t="shared" si="232"/>
        <v>0</v>
      </c>
      <c r="Q702" s="369">
        <f t="shared" si="232"/>
        <v>0</v>
      </c>
      <c r="R702" s="369">
        <f t="shared" si="232"/>
        <v>0</v>
      </c>
      <c r="S702" s="369">
        <f t="shared" si="232"/>
        <v>0</v>
      </c>
      <c r="T702" s="369">
        <f t="shared" si="232"/>
        <v>0</v>
      </c>
      <c r="U702" s="369">
        <f t="shared" si="232"/>
        <v>0</v>
      </c>
      <c r="V702" s="369">
        <f t="shared" si="232"/>
        <v>0</v>
      </c>
      <c r="W702" s="369">
        <f t="shared" si="232"/>
        <v>0</v>
      </c>
      <c r="X702" s="369">
        <f t="shared" si="232"/>
        <v>0</v>
      </c>
      <c r="Y702" s="369">
        <f t="shared" si="232"/>
        <v>0</v>
      </c>
      <c r="Z702" s="369">
        <f t="shared" si="232"/>
        <v>0</v>
      </c>
      <c r="AA702" s="369">
        <f t="shared" si="232"/>
        <v>0</v>
      </c>
      <c r="AB702" s="369">
        <f t="shared" si="232"/>
        <v>0</v>
      </c>
      <c r="AC702" s="369">
        <f t="shared" si="232"/>
        <v>0</v>
      </c>
      <c r="AD702" s="369">
        <f t="shared" si="232"/>
        <v>0</v>
      </c>
      <c r="AE702" s="369">
        <f t="shared" si="232"/>
        <v>0</v>
      </c>
      <c r="AF702" s="369">
        <f t="shared" si="232"/>
        <v>0</v>
      </c>
      <c r="AG702" s="369">
        <f t="shared" si="232"/>
        <v>0</v>
      </c>
      <c r="AH702" s="369">
        <f t="shared" si="232"/>
        <v>0</v>
      </c>
      <c r="AI702" s="369">
        <f t="shared" si="232"/>
        <v>0</v>
      </c>
      <c r="AJ702" s="369">
        <f t="shared" si="232"/>
        <v>0</v>
      </c>
      <c r="AK702" s="369">
        <f t="shared" si="232"/>
        <v>0</v>
      </c>
      <c r="AL702" s="369">
        <f t="shared" si="232"/>
        <v>0</v>
      </c>
      <c r="AM702" s="369">
        <f t="shared" si="232"/>
        <v>0</v>
      </c>
      <c r="AN702" s="369">
        <f t="shared" si="232"/>
        <v>0</v>
      </c>
      <c r="AO702" s="369">
        <f t="shared" si="232"/>
        <v>0</v>
      </c>
      <c r="AP702" s="369">
        <f t="shared" si="232"/>
        <v>0</v>
      </c>
      <c r="AQ702" s="369">
        <f t="shared" si="232"/>
        <v>0</v>
      </c>
      <c r="AR702" s="369">
        <f t="shared" si="232"/>
        <v>0</v>
      </c>
      <c r="AS702" s="369">
        <f t="shared" si="232"/>
        <v>0</v>
      </c>
      <c r="AT702" s="369">
        <f t="shared" si="232"/>
        <v>0</v>
      </c>
      <c r="AU702" s="369">
        <f t="shared" si="232"/>
        <v>0</v>
      </c>
      <c r="AV702" s="369">
        <f t="shared" si="232"/>
        <v>0</v>
      </c>
      <c r="AW702" s="369">
        <f t="shared" si="232"/>
        <v>0</v>
      </c>
      <c r="AX702" s="369">
        <f t="shared" si="232"/>
        <v>0</v>
      </c>
      <c r="AY702" s="369">
        <f t="shared" si="232"/>
        <v>0</v>
      </c>
      <c r="AZ702" s="369">
        <f t="shared" si="232"/>
        <v>0</v>
      </c>
      <c r="BA702" s="369">
        <f t="shared" si="232"/>
        <v>0</v>
      </c>
      <c r="BB702" s="369">
        <f t="shared" si="232"/>
        <v>0</v>
      </c>
      <c r="BC702" s="369">
        <f t="shared" si="232"/>
        <v>0</v>
      </c>
      <c r="BD702" s="369">
        <f t="shared" si="232"/>
        <v>0</v>
      </c>
      <c r="BE702" s="1335">
        <f t="shared" si="232"/>
        <v>0</v>
      </c>
    </row>
    <row r="703" spans="2:57" x14ac:dyDescent="0.25">
      <c r="B703" s="358"/>
      <c r="C703" s="359"/>
      <c r="D703" s="359"/>
      <c r="E703" s="359"/>
      <c r="F703" s="359"/>
      <c r="G703" s="369"/>
      <c r="H703" s="369"/>
      <c r="I703" s="369"/>
      <c r="J703" s="369"/>
      <c r="K703" s="369"/>
      <c r="L703" s="369"/>
      <c r="M703" s="369"/>
      <c r="N703" s="369"/>
      <c r="O703" s="369"/>
      <c r="P703" s="369"/>
      <c r="Q703" s="369"/>
      <c r="R703" s="369"/>
      <c r="S703" s="369"/>
      <c r="T703" s="369"/>
      <c r="U703" s="369"/>
      <c r="V703" s="369"/>
      <c r="W703" s="369"/>
      <c r="X703" s="369"/>
      <c r="Y703" s="369"/>
      <c r="Z703" s="369"/>
      <c r="AA703" s="369"/>
      <c r="AB703" s="369"/>
      <c r="AC703" s="369"/>
      <c r="AD703" s="369"/>
      <c r="AE703" s="369"/>
      <c r="AF703" s="369"/>
      <c r="AG703" s="369"/>
      <c r="AH703" s="369"/>
      <c r="AI703" s="369"/>
      <c r="AJ703" s="369"/>
      <c r="AK703" s="369"/>
      <c r="AL703" s="369"/>
      <c r="AM703" s="369"/>
      <c r="AN703" s="369"/>
      <c r="AO703" s="369"/>
      <c r="AP703" s="369"/>
      <c r="AQ703" s="369"/>
      <c r="AR703" s="369"/>
      <c r="AS703" s="369"/>
      <c r="AT703" s="369"/>
      <c r="AU703" s="369"/>
      <c r="AV703" s="369"/>
      <c r="AW703" s="369"/>
      <c r="AX703" s="369"/>
      <c r="AY703" s="369"/>
      <c r="AZ703" s="369"/>
      <c r="BA703" s="369"/>
      <c r="BB703" s="369"/>
      <c r="BC703" s="369"/>
      <c r="BD703" s="369"/>
      <c r="BE703" s="1335"/>
    </row>
    <row r="704" spans="2:57" x14ac:dyDescent="0.25">
      <c r="B704" s="358"/>
      <c r="C704" s="417" t="s">
        <v>71</v>
      </c>
      <c r="D704" s="359"/>
      <c r="E704" s="359"/>
      <c r="F704" s="35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369"/>
      <c r="AC704" s="369"/>
      <c r="AD704" s="369"/>
      <c r="AE704" s="369"/>
      <c r="AF704" s="369"/>
      <c r="AG704" s="369"/>
      <c r="AH704" s="369"/>
      <c r="AI704" s="369"/>
      <c r="AJ704" s="369"/>
      <c r="AK704" s="369"/>
      <c r="AL704" s="369"/>
      <c r="AM704" s="369"/>
      <c r="AN704" s="369"/>
      <c r="AO704" s="369"/>
      <c r="AP704" s="369"/>
      <c r="AQ704" s="369"/>
      <c r="AR704" s="369"/>
      <c r="AS704" s="369"/>
      <c r="AT704" s="369"/>
      <c r="AU704" s="369"/>
      <c r="AV704" s="369"/>
      <c r="AW704" s="369"/>
      <c r="AX704" s="369"/>
      <c r="AY704" s="369"/>
      <c r="AZ704" s="369"/>
      <c r="BA704" s="369"/>
      <c r="BB704" s="369"/>
      <c r="BC704" s="369"/>
      <c r="BD704" s="369"/>
      <c r="BE704" s="1335"/>
    </row>
    <row r="705" spans="2:58" x14ac:dyDescent="0.25">
      <c r="B705" s="358"/>
      <c r="C705" s="359" t="str">
        <f>'II. Inputs, Baseline Energy Mix'!$E$70</f>
        <v>Front-end Fee</v>
      </c>
      <c r="D705" s="359"/>
      <c r="E705" s="359"/>
      <c r="F705" s="359"/>
      <c r="G705" s="369"/>
      <c r="H705" s="369">
        <f>IF($G689&gt;0, G689*'II. Inputs, Baseline Energy Mix'!$S$70/10000,0)</f>
        <v>0</v>
      </c>
      <c r="I705" s="369">
        <v>0</v>
      </c>
      <c r="J705" s="369">
        <v>0</v>
      </c>
      <c r="K705" s="369">
        <v>0</v>
      </c>
      <c r="L705" s="369">
        <v>0</v>
      </c>
      <c r="M705" s="369">
        <v>0</v>
      </c>
      <c r="N705" s="369">
        <v>0</v>
      </c>
      <c r="O705" s="369">
        <v>0</v>
      </c>
      <c r="P705" s="369">
        <v>0</v>
      </c>
      <c r="Q705" s="369">
        <v>0</v>
      </c>
      <c r="R705" s="369">
        <v>0</v>
      </c>
      <c r="S705" s="369">
        <v>0</v>
      </c>
      <c r="T705" s="369">
        <v>0</v>
      </c>
      <c r="U705" s="369">
        <v>0</v>
      </c>
      <c r="V705" s="369">
        <v>0</v>
      </c>
      <c r="W705" s="369">
        <v>0</v>
      </c>
      <c r="X705" s="369">
        <v>0</v>
      </c>
      <c r="Y705" s="369">
        <v>0</v>
      </c>
      <c r="Z705" s="369">
        <v>0</v>
      </c>
      <c r="AA705" s="369">
        <v>0</v>
      </c>
      <c r="AB705" s="369">
        <v>0</v>
      </c>
      <c r="AC705" s="369">
        <v>0</v>
      </c>
      <c r="AD705" s="369">
        <v>0</v>
      </c>
      <c r="AE705" s="369">
        <v>0</v>
      </c>
      <c r="AF705" s="369">
        <v>0</v>
      </c>
      <c r="AG705" s="369">
        <v>0</v>
      </c>
      <c r="AH705" s="369">
        <v>0</v>
      </c>
      <c r="AI705" s="369">
        <v>0</v>
      </c>
      <c r="AJ705" s="369">
        <v>0</v>
      </c>
      <c r="AK705" s="369">
        <v>0</v>
      </c>
      <c r="AL705" s="369">
        <v>0</v>
      </c>
      <c r="AM705" s="369">
        <v>0</v>
      </c>
      <c r="AN705" s="369">
        <v>0</v>
      </c>
      <c r="AO705" s="369">
        <v>0</v>
      </c>
      <c r="AP705" s="369">
        <v>0</v>
      </c>
      <c r="AQ705" s="369">
        <v>0</v>
      </c>
      <c r="AR705" s="369">
        <v>0</v>
      </c>
      <c r="AS705" s="369">
        <v>0</v>
      </c>
      <c r="AT705" s="369">
        <v>0</v>
      </c>
      <c r="AU705" s="369">
        <v>0</v>
      </c>
      <c r="AV705" s="369">
        <v>0</v>
      </c>
      <c r="AW705" s="369">
        <v>0</v>
      </c>
      <c r="AX705" s="369">
        <v>0</v>
      </c>
      <c r="AY705" s="369">
        <v>0</v>
      </c>
      <c r="AZ705" s="369">
        <v>0</v>
      </c>
      <c r="BA705" s="369">
        <v>0</v>
      </c>
      <c r="BB705" s="369">
        <v>0</v>
      </c>
      <c r="BC705" s="369">
        <v>0</v>
      </c>
      <c r="BD705" s="369">
        <v>0</v>
      </c>
      <c r="BE705" s="1335">
        <v>0</v>
      </c>
    </row>
    <row r="706" spans="2:58" x14ac:dyDescent="0.25">
      <c r="B706" s="358"/>
      <c r="C706" s="359"/>
      <c r="D706" s="359"/>
      <c r="E706" s="359"/>
      <c r="F706" s="359"/>
      <c r="G706" s="359"/>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359"/>
      <c r="AJ706" s="359"/>
      <c r="AK706" s="359"/>
      <c r="AL706" s="359"/>
      <c r="AM706" s="359"/>
      <c r="AN706" s="359"/>
      <c r="AO706" s="359"/>
      <c r="AP706" s="359"/>
      <c r="AQ706" s="359"/>
      <c r="AR706" s="359"/>
      <c r="AS706" s="359"/>
      <c r="AT706" s="359"/>
      <c r="AU706" s="359"/>
      <c r="AV706" s="359"/>
      <c r="AW706" s="359"/>
      <c r="AX706" s="359"/>
      <c r="AY706" s="359"/>
      <c r="AZ706" s="359"/>
      <c r="BA706" s="359"/>
      <c r="BB706" s="359"/>
      <c r="BC706" s="359"/>
      <c r="BD706" s="359"/>
      <c r="BE706" s="360"/>
    </row>
    <row r="707" spans="2:58" x14ac:dyDescent="0.25">
      <c r="B707" s="370" t="s">
        <v>179</v>
      </c>
      <c r="C707" s="359"/>
      <c r="D707" s="359"/>
      <c r="E707" s="359"/>
      <c r="F707" s="359"/>
      <c r="G707" s="359"/>
      <c r="H707" s="359"/>
      <c r="I707" s="359"/>
      <c r="J707" s="359"/>
      <c r="K707" s="359"/>
      <c r="L707" s="359"/>
      <c r="M707" s="359"/>
      <c r="N707" s="359"/>
      <c r="O707" s="359"/>
      <c r="P707" s="359"/>
      <c r="Q707" s="359"/>
      <c r="R707" s="359"/>
      <c r="S707" s="359"/>
      <c r="T707" s="359"/>
      <c r="U707" s="359"/>
      <c r="V707" s="359"/>
      <c r="W707" s="359"/>
      <c r="X707" s="359"/>
      <c r="Y707" s="359"/>
      <c r="Z707" s="359"/>
      <c r="AA707" s="359"/>
      <c r="AB707" s="359"/>
      <c r="AC707" s="359"/>
      <c r="AD707" s="359"/>
      <c r="AE707" s="359"/>
      <c r="AF707" s="359"/>
      <c r="AG707" s="359"/>
      <c r="AH707" s="359"/>
      <c r="AI707" s="359"/>
      <c r="AJ707" s="359"/>
      <c r="AK707" s="359"/>
      <c r="AL707" s="359"/>
      <c r="AM707" s="359"/>
      <c r="AN707" s="359"/>
      <c r="AO707" s="359"/>
      <c r="AP707" s="359"/>
      <c r="AQ707" s="359"/>
      <c r="AR707" s="359"/>
      <c r="AS707" s="359"/>
      <c r="AT707" s="359"/>
      <c r="AU707" s="359"/>
      <c r="AV707" s="359"/>
      <c r="AW707" s="359"/>
      <c r="AX707" s="359"/>
      <c r="AY707" s="359"/>
      <c r="AZ707" s="359"/>
      <c r="BA707" s="359"/>
      <c r="BB707" s="359"/>
      <c r="BC707" s="359"/>
      <c r="BD707" s="359"/>
      <c r="BE707" s="360"/>
    </row>
    <row r="708" spans="2:58" x14ac:dyDescent="0.25">
      <c r="B708" s="358"/>
      <c r="C708" s="414" t="s">
        <v>68</v>
      </c>
      <c r="D708" s="362" t="s">
        <v>22</v>
      </c>
      <c r="E708" s="359"/>
      <c r="F708" s="359"/>
      <c r="G708" s="369">
        <f>IF('II. Inputs, Baseline Energy Mix'!$S$15&gt;0,('II. Inputs, Baseline Energy Mix'!$S$16*'II. Inputs, Baseline Energy Mix'!$S$17*'II. Inputs, Baseline Energy Mix'!$S$30*'II. Inputs, Baseline Energy Mix'!$S$33),0)</f>
        <v>0</v>
      </c>
      <c r="H708" s="359"/>
      <c r="I708" s="359"/>
      <c r="J708" s="359"/>
      <c r="K708" s="359"/>
      <c r="L708" s="359"/>
      <c r="M708" s="359"/>
      <c r="N708" s="359"/>
      <c r="O708" s="359"/>
      <c r="P708" s="359"/>
      <c r="Q708" s="359"/>
      <c r="R708" s="359"/>
      <c r="S708" s="359"/>
      <c r="T708" s="359"/>
      <c r="U708" s="359"/>
      <c r="V708" s="359"/>
      <c r="W708" s="359"/>
      <c r="X708" s="359"/>
      <c r="Y708" s="359"/>
      <c r="Z708" s="359"/>
      <c r="AA708" s="359"/>
      <c r="AB708" s="359"/>
      <c r="AC708" s="359"/>
      <c r="AD708" s="359"/>
      <c r="AE708" s="359"/>
      <c r="AF708" s="359"/>
      <c r="AG708" s="359"/>
      <c r="AH708" s="359"/>
      <c r="AI708" s="359"/>
      <c r="AJ708" s="359"/>
      <c r="AK708" s="359"/>
      <c r="AL708" s="359"/>
      <c r="AM708" s="359"/>
      <c r="AN708" s="359"/>
      <c r="AO708" s="359"/>
      <c r="AP708" s="359"/>
      <c r="AQ708" s="359"/>
      <c r="AR708" s="359"/>
      <c r="AS708" s="359"/>
      <c r="AT708" s="359"/>
      <c r="AU708" s="359"/>
      <c r="AV708" s="359"/>
      <c r="AW708" s="359"/>
      <c r="AX708" s="359"/>
      <c r="AY708" s="359"/>
      <c r="AZ708" s="359"/>
      <c r="BA708" s="359"/>
      <c r="BB708" s="359"/>
      <c r="BC708" s="359"/>
      <c r="BD708" s="359"/>
      <c r="BE708" s="360"/>
    </row>
    <row r="709" spans="2:58" x14ac:dyDescent="0.25">
      <c r="B709" s="358"/>
      <c r="C709" s="414" t="s">
        <v>69</v>
      </c>
      <c r="D709" s="362" t="s">
        <v>20</v>
      </c>
      <c r="E709" s="359"/>
      <c r="F709" s="359"/>
      <c r="G709" s="361">
        <f>SUM('II. Inputs, Baseline Energy Mix'!$S$73)</f>
        <v>0</v>
      </c>
      <c r="H709" s="359"/>
      <c r="I709" s="359"/>
      <c r="J709" s="359"/>
      <c r="K709" s="359"/>
      <c r="L709" s="359"/>
      <c r="M709" s="359"/>
      <c r="N709" s="359"/>
      <c r="O709" s="359"/>
      <c r="P709" s="359"/>
      <c r="Q709" s="359"/>
      <c r="R709" s="359"/>
      <c r="S709" s="359"/>
      <c r="T709" s="359"/>
      <c r="U709" s="359"/>
      <c r="V709" s="359"/>
      <c r="W709" s="359"/>
      <c r="X709" s="359"/>
      <c r="Y709" s="359"/>
      <c r="Z709" s="359"/>
      <c r="AA709" s="359"/>
      <c r="AB709" s="359"/>
      <c r="AC709" s="359"/>
      <c r="AD709" s="359"/>
      <c r="AE709" s="359"/>
      <c r="AF709" s="359"/>
      <c r="AG709" s="359"/>
      <c r="AH709" s="359"/>
      <c r="AI709" s="359"/>
      <c r="AJ709" s="359"/>
      <c r="AK709" s="359"/>
      <c r="AL709" s="359"/>
      <c r="AM709" s="359"/>
      <c r="AN709" s="359"/>
      <c r="AO709" s="359"/>
      <c r="AP709" s="359"/>
      <c r="AQ709" s="359"/>
      <c r="AR709" s="359"/>
      <c r="AS709" s="359"/>
      <c r="AT709" s="359"/>
      <c r="AU709" s="359"/>
      <c r="AV709" s="359"/>
      <c r="AW709" s="359"/>
      <c r="AX709" s="359"/>
      <c r="AY709" s="359"/>
      <c r="AZ709" s="359"/>
      <c r="BA709" s="359"/>
      <c r="BB709" s="359"/>
      <c r="BC709" s="359"/>
      <c r="BD709" s="359"/>
      <c r="BE709" s="360"/>
    </row>
    <row r="710" spans="2:58" x14ac:dyDescent="0.25">
      <c r="B710" s="358"/>
      <c r="C710" s="414" t="s">
        <v>70</v>
      </c>
      <c r="D710" s="362" t="s">
        <v>16</v>
      </c>
      <c r="E710" s="359"/>
      <c r="F710" s="359"/>
      <c r="G710" s="415">
        <f>SUM('II. Inputs, Baseline Energy Mix'!$S$72)</f>
        <v>0</v>
      </c>
      <c r="H710" s="359"/>
      <c r="I710" s="359"/>
      <c r="J710" s="359"/>
      <c r="K710" s="359"/>
      <c r="L710" s="359"/>
      <c r="M710" s="359"/>
      <c r="N710" s="359"/>
      <c r="O710" s="359"/>
      <c r="P710" s="359"/>
      <c r="Q710" s="359"/>
      <c r="R710" s="359"/>
      <c r="S710" s="359"/>
      <c r="T710" s="359"/>
      <c r="U710" s="359"/>
      <c r="V710" s="359"/>
      <c r="W710" s="359"/>
      <c r="X710" s="359"/>
      <c r="Y710" s="359"/>
      <c r="Z710" s="359"/>
      <c r="AA710" s="359"/>
      <c r="AB710" s="359"/>
      <c r="AC710" s="359"/>
      <c r="AD710" s="359"/>
      <c r="AE710" s="359"/>
      <c r="AF710" s="359"/>
      <c r="AG710" s="359"/>
      <c r="AH710" s="359"/>
      <c r="AI710" s="359"/>
      <c r="AJ710" s="359"/>
      <c r="AK710" s="359"/>
      <c r="AL710" s="359"/>
      <c r="AM710" s="359"/>
      <c r="AN710" s="359"/>
      <c r="AO710" s="359"/>
      <c r="AP710" s="359"/>
      <c r="AQ710" s="359"/>
      <c r="AR710" s="359"/>
      <c r="AS710" s="359"/>
      <c r="AT710" s="359"/>
      <c r="AU710" s="359"/>
      <c r="AV710" s="359"/>
      <c r="AW710" s="359"/>
      <c r="AX710" s="359"/>
      <c r="AY710" s="359"/>
      <c r="AZ710" s="359"/>
      <c r="BA710" s="359"/>
      <c r="BB710" s="359"/>
      <c r="BC710" s="359"/>
      <c r="BD710" s="359"/>
      <c r="BE710" s="360"/>
    </row>
    <row r="711" spans="2:58" x14ac:dyDescent="0.25">
      <c r="B711" s="358"/>
      <c r="C711" s="414" t="str">
        <f>'II. Inputs, Baseline Energy Mix'!$E$75</f>
        <v>Guarantee Coverage, as a % of Commercial Loan Value</v>
      </c>
      <c r="D711" s="362" t="s">
        <v>16</v>
      </c>
      <c r="E711" s="359"/>
      <c r="F711" s="359"/>
      <c r="G711" s="418">
        <f>SUM('II. Inputs, Baseline Energy Mix'!$S$75)</f>
        <v>0</v>
      </c>
      <c r="H711" s="359"/>
      <c r="I711" s="359"/>
      <c r="J711" s="359"/>
      <c r="K711" s="359"/>
      <c r="L711" s="359"/>
      <c r="M711" s="359"/>
      <c r="N711" s="359"/>
      <c r="O711" s="359"/>
      <c r="P711" s="359"/>
      <c r="Q711" s="359"/>
      <c r="R711" s="359"/>
      <c r="S711" s="359"/>
      <c r="T711" s="359"/>
      <c r="U711" s="359"/>
      <c r="V711" s="359"/>
      <c r="W711" s="359"/>
      <c r="X711" s="359"/>
      <c r="Y711" s="359"/>
      <c r="Z711" s="359"/>
      <c r="AA711" s="359"/>
      <c r="AB711" s="359"/>
      <c r="AC711" s="359"/>
      <c r="AD711" s="359"/>
      <c r="AE711" s="359"/>
      <c r="AF711" s="359"/>
      <c r="AG711" s="359"/>
      <c r="AH711" s="359"/>
      <c r="AI711" s="359"/>
      <c r="AJ711" s="359"/>
      <c r="AK711" s="359"/>
      <c r="AL711" s="359"/>
      <c r="AM711" s="359"/>
      <c r="AN711" s="359"/>
      <c r="AO711" s="359"/>
      <c r="AP711" s="359"/>
      <c r="AQ711" s="359"/>
      <c r="AR711" s="359"/>
      <c r="AS711" s="359"/>
      <c r="AT711" s="359"/>
      <c r="AU711" s="359"/>
      <c r="AV711" s="359"/>
      <c r="AW711" s="359"/>
      <c r="AX711" s="359"/>
      <c r="AY711" s="359"/>
      <c r="AZ711" s="359"/>
      <c r="BA711" s="359"/>
      <c r="BB711" s="359"/>
      <c r="BC711" s="359"/>
      <c r="BD711" s="359"/>
      <c r="BE711" s="360"/>
    </row>
    <row r="712" spans="2:58" x14ac:dyDescent="0.25">
      <c r="B712" s="358"/>
      <c r="C712" s="414" t="str">
        <f>'II. Inputs, Baseline Energy Mix'!$E$76</f>
        <v xml:space="preserve">Term of Public Guarantee Coverage </v>
      </c>
      <c r="D712" s="362" t="s">
        <v>20</v>
      </c>
      <c r="E712" s="359"/>
      <c r="F712" s="359"/>
      <c r="G712" s="361">
        <f>'II. Inputs, Baseline Energy Mix'!$S$76</f>
        <v>0</v>
      </c>
      <c r="H712" s="359"/>
      <c r="I712" s="359"/>
      <c r="J712" s="359"/>
      <c r="K712" s="359"/>
      <c r="L712" s="359"/>
      <c r="M712" s="359"/>
      <c r="N712" s="359"/>
      <c r="O712" s="359"/>
      <c r="P712" s="359"/>
      <c r="Q712" s="359"/>
      <c r="R712" s="359"/>
      <c r="S712" s="359"/>
      <c r="T712" s="359"/>
      <c r="U712" s="359"/>
      <c r="V712" s="359"/>
      <c r="W712" s="359"/>
      <c r="X712" s="359"/>
      <c r="Y712" s="359"/>
      <c r="Z712" s="359"/>
      <c r="AA712" s="359"/>
      <c r="AB712" s="359"/>
      <c r="AC712" s="359"/>
      <c r="AD712" s="359"/>
      <c r="AE712" s="359"/>
      <c r="AF712" s="359"/>
      <c r="AG712" s="359"/>
      <c r="AH712" s="359"/>
      <c r="AI712" s="359"/>
      <c r="AJ712" s="359"/>
      <c r="AK712" s="359"/>
      <c r="AL712" s="359"/>
      <c r="AM712" s="359"/>
      <c r="AN712" s="359"/>
      <c r="AO712" s="359"/>
      <c r="AP712" s="359"/>
      <c r="AQ712" s="359"/>
      <c r="AR712" s="359"/>
      <c r="AS712" s="359"/>
      <c r="AT712" s="359"/>
      <c r="AU712" s="359"/>
      <c r="AV712" s="359"/>
      <c r="AW712" s="359"/>
      <c r="AX712" s="359"/>
      <c r="AY712" s="359"/>
      <c r="AZ712" s="359"/>
      <c r="BA712" s="359"/>
      <c r="BB712" s="359"/>
      <c r="BC712" s="359"/>
      <c r="BD712" s="359"/>
      <c r="BE712" s="360"/>
    </row>
    <row r="713" spans="2:58" x14ac:dyDescent="0.25">
      <c r="B713" s="358"/>
      <c r="C713" s="359"/>
      <c r="D713" s="359"/>
      <c r="E713" s="359"/>
      <c r="F713" s="359"/>
      <c r="G713" s="359"/>
      <c r="H713" s="359"/>
      <c r="I713" s="359"/>
      <c r="J713" s="359"/>
      <c r="K713" s="359"/>
      <c r="L713" s="359"/>
      <c r="M713" s="359"/>
      <c r="N713" s="359"/>
      <c r="O713" s="359"/>
      <c r="P713" s="359"/>
      <c r="Q713" s="359"/>
      <c r="R713" s="359"/>
      <c r="S713" s="359"/>
      <c r="T713" s="359"/>
      <c r="U713" s="359"/>
      <c r="V713" s="359"/>
      <c r="W713" s="359"/>
      <c r="X713" s="359"/>
      <c r="Y713" s="359"/>
      <c r="Z713" s="359"/>
      <c r="AA713" s="359"/>
      <c r="AB713" s="359"/>
      <c r="AC713" s="359"/>
      <c r="AD713" s="359"/>
      <c r="AE713" s="359"/>
      <c r="AF713" s="359"/>
      <c r="AG713" s="359"/>
      <c r="AH713" s="359"/>
      <c r="AI713" s="359"/>
      <c r="AJ713" s="359"/>
      <c r="AK713" s="359"/>
      <c r="AL713" s="359"/>
      <c r="AM713" s="359"/>
      <c r="AN713" s="359"/>
      <c r="AO713" s="359"/>
      <c r="AP713" s="359"/>
      <c r="AQ713" s="359"/>
      <c r="AR713" s="359"/>
      <c r="AS713" s="359"/>
      <c r="AT713" s="359"/>
      <c r="AU713" s="359"/>
      <c r="AV713" s="359"/>
      <c r="AW713" s="359"/>
      <c r="AX713" s="359"/>
      <c r="AY713" s="359"/>
      <c r="AZ713" s="359"/>
      <c r="BA713" s="359"/>
      <c r="BB713" s="359"/>
      <c r="BC713" s="359"/>
      <c r="BD713" s="359"/>
      <c r="BE713" s="360"/>
    </row>
    <row r="714" spans="2:58" x14ac:dyDescent="0.25">
      <c r="B714" s="358"/>
      <c r="C714" s="416" t="s">
        <v>67</v>
      </c>
      <c r="D714" s="359"/>
      <c r="E714" s="359"/>
      <c r="F714" s="359"/>
      <c r="G714" s="1188"/>
      <c r="H714" s="1188"/>
      <c r="I714" s="1188"/>
      <c r="J714" s="1188"/>
      <c r="K714" s="1188"/>
      <c r="L714" s="1188"/>
      <c r="M714" s="1188"/>
      <c r="N714" s="1188"/>
      <c r="O714" s="1188"/>
      <c r="P714" s="1188"/>
      <c r="Q714" s="1188"/>
      <c r="R714" s="1188"/>
      <c r="S714" s="1188"/>
      <c r="T714" s="1188"/>
      <c r="U714" s="1188"/>
      <c r="V714" s="1188"/>
      <c r="W714" s="1188"/>
      <c r="X714" s="1188"/>
      <c r="Y714" s="1188"/>
      <c r="Z714" s="1188"/>
      <c r="AA714" s="1188"/>
      <c r="AB714" s="1188"/>
      <c r="AC714" s="1188"/>
      <c r="AD714" s="1188"/>
      <c r="AE714" s="1188"/>
      <c r="AF714" s="1188"/>
      <c r="AG714" s="1188"/>
      <c r="AH714" s="1188"/>
      <c r="AI714" s="1188"/>
      <c r="AJ714" s="1188"/>
      <c r="AK714" s="1188"/>
      <c r="AL714" s="1188"/>
      <c r="AM714" s="1188"/>
      <c r="AN714" s="1188"/>
      <c r="AO714" s="1188"/>
      <c r="AP714" s="1188"/>
      <c r="AQ714" s="1188"/>
      <c r="AR714" s="1188"/>
      <c r="AS714" s="1188"/>
      <c r="AT714" s="1188"/>
      <c r="AU714" s="1188"/>
      <c r="AV714" s="1188"/>
      <c r="AW714" s="1188"/>
      <c r="AX714" s="1188"/>
      <c r="AY714" s="1188"/>
      <c r="AZ714" s="1188"/>
      <c r="BA714" s="1188"/>
      <c r="BB714" s="1188"/>
      <c r="BC714" s="1188"/>
      <c r="BD714" s="1188"/>
      <c r="BE714" s="1191"/>
      <c r="BF714" s="1192"/>
    </row>
    <row r="715" spans="2:58" x14ac:dyDescent="0.25">
      <c r="B715" s="358"/>
      <c r="C715" s="359" t="s">
        <v>73</v>
      </c>
      <c r="D715" s="359"/>
      <c r="E715" s="359"/>
      <c r="F715" s="359"/>
      <c r="G715" s="369"/>
      <c r="H715" s="369">
        <f>IF(H$299&gt;$G709,0,IPMT($G710,H$299,$G709,-$G708))</f>
        <v>0</v>
      </c>
      <c r="I715" s="369">
        <f t="shared" ref="I715:BE715" si="233">IF(I$299&gt;$G709,0,IPMT($G710,I$299,$G709,-$G708))</f>
        <v>0</v>
      </c>
      <c r="J715" s="369">
        <f t="shared" si="233"/>
        <v>0</v>
      </c>
      <c r="K715" s="369">
        <f t="shared" si="233"/>
        <v>0</v>
      </c>
      <c r="L715" s="369">
        <f t="shared" si="233"/>
        <v>0</v>
      </c>
      <c r="M715" s="369">
        <f t="shared" si="233"/>
        <v>0</v>
      </c>
      <c r="N715" s="369">
        <f t="shared" si="233"/>
        <v>0</v>
      </c>
      <c r="O715" s="369">
        <f t="shared" si="233"/>
        <v>0</v>
      </c>
      <c r="P715" s="369">
        <f t="shared" si="233"/>
        <v>0</v>
      </c>
      <c r="Q715" s="369">
        <f t="shared" si="233"/>
        <v>0</v>
      </c>
      <c r="R715" s="369">
        <f t="shared" si="233"/>
        <v>0</v>
      </c>
      <c r="S715" s="369">
        <f t="shared" si="233"/>
        <v>0</v>
      </c>
      <c r="T715" s="369">
        <f t="shared" si="233"/>
        <v>0</v>
      </c>
      <c r="U715" s="369">
        <f t="shared" si="233"/>
        <v>0</v>
      </c>
      <c r="V715" s="369">
        <f t="shared" si="233"/>
        <v>0</v>
      </c>
      <c r="W715" s="369">
        <f t="shared" si="233"/>
        <v>0</v>
      </c>
      <c r="X715" s="369">
        <f t="shared" si="233"/>
        <v>0</v>
      </c>
      <c r="Y715" s="369">
        <f t="shared" si="233"/>
        <v>0</v>
      </c>
      <c r="Z715" s="369">
        <f t="shared" si="233"/>
        <v>0</v>
      </c>
      <c r="AA715" s="369">
        <f t="shared" si="233"/>
        <v>0</v>
      </c>
      <c r="AB715" s="369">
        <f t="shared" si="233"/>
        <v>0</v>
      </c>
      <c r="AC715" s="369">
        <f t="shared" si="233"/>
        <v>0</v>
      </c>
      <c r="AD715" s="369">
        <f t="shared" si="233"/>
        <v>0</v>
      </c>
      <c r="AE715" s="369">
        <f t="shared" si="233"/>
        <v>0</v>
      </c>
      <c r="AF715" s="369">
        <f t="shared" si="233"/>
        <v>0</v>
      </c>
      <c r="AG715" s="369">
        <f t="shared" si="233"/>
        <v>0</v>
      </c>
      <c r="AH715" s="369">
        <f t="shared" si="233"/>
        <v>0</v>
      </c>
      <c r="AI715" s="369">
        <f t="shared" si="233"/>
        <v>0</v>
      </c>
      <c r="AJ715" s="369">
        <f t="shared" si="233"/>
        <v>0</v>
      </c>
      <c r="AK715" s="369">
        <f t="shared" si="233"/>
        <v>0</v>
      </c>
      <c r="AL715" s="369">
        <f t="shared" si="233"/>
        <v>0</v>
      </c>
      <c r="AM715" s="369">
        <f t="shared" si="233"/>
        <v>0</v>
      </c>
      <c r="AN715" s="369">
        <f t="shared" si="233"/>
        <v>0</v>
      </c>
      <c r="AO715" s="369">
        <f t="shared" si="233"/>
        <v>0</v>
      </c>
      <c r="AP715" s="369">
        <f t="shared" si="233"/>
        <v>0</v>
      </c>
      <c r="AQ715" s="369">
        <f t="shared" si="233"/>
        <v>0</v>
      </c>
      <c r="AR715" s="369">
        <f t="shared" si="233"/>
        <v>0</v>
      </c>
      <c r="AS715" s="369">
        <f t="shared" si="233"/>
        <v>0</v>
      </c>
      <c r="AT715" s="369">
        <f t="shared" si="233"/>
        <v>0</v>
      </c>
      <c r="AU715" s="369">
        <f t="shared" si="233"/>
        <v>0</v>
      </c>
      <c r="AV715" s="369">
        <f t="shared" si="233"/>
        <v>0</v>
      </c>
      <c r="AW715" s="369">
        <f t="shared" si="233"/>
        <v>0</v>
      </c>
      <c r="AX715" s="369">
        <f t="shared" si="233"/>
        <v>0</v>
      </c>
      <c r="AY715" s="369">
        <f t="shared" si="233"/>
        <v>0</v>
      </c>
      <c r="AZ715" s="369">
        <f t="shared" si="233"/>
        <v>0</v>
      </c>
      <c r="BA715" s="369">
        <f t="shared" si="233"/>
        <v>0</v>
      </c>
      <c r="BB715" s="369">
        <f t="shared" si="233"/>
        <v>0</v>
      </c>
      <c r="BC715" s="369">
        <f t="shared" si="233"/>
        <v>0</v>
      </c>
      <c r="BD715" s="369">
        <f t="shared" si="233"/>
        <v>0</v>
      </c>
      <c r="BE715" s="1335">
        <f t="shared" si="233"/>
        <v>0</v>
      </c>
      <c r="BF715" s="1192"/>
    </row>
    <row r="716" spans="2:58" x14ac:dyDescent="0.25">
      <c r="B716" s="358"/>
      <c r="C716" s="366" t="s">
        <v>72</v>
      </c>
      <c r="D716" s="366"/>
      <c r="E716" s="366"/>
      <c r="F716" s="366"/>
      <c r="G716" s="1336"/>
      <c r="H716" s="1336">
        <f>IF(H$299&gt;$G709,0,PPMT($G710,H$299,$G709,-$G708))</f>
        <v>0</v>
      </c>
      <c r="I716" s="1336">
        <f t="shared" ref="I716:BE716" si="234">IF(I$299&gt;$G709,0,PPMT($G710,I$299,$G709,-$G708))</f>
        <v>0</v>
      </c>
      <c r="J716" s="1336">
        <f t="shared" si="234"/>
        <v>0</v>
      </c>
      <c r="K716" s="1336">
        <f t="shared" si="234"/>
        <v>0</v>
      </c>
      <c r="L716" s="1336">
        <f t="shared" si="234"/>
        <v>0</v>
      </c>
      <c r="M716" s="1336">
        <f t="shared" si="234"/>
        <v>0</v>
      </c>
      <c r="N716" s="1336">
        <f t="shared" si="234"/>
        <v>0</v>
      </c>
      <c r="O716" s="1336">
        <f t="shared" si="234"/>
        <v>0</v>
      </c>
      <c r="P716" s="1336">
        <f t="shared" si="234"/>
        <v>0</v>
      </c>
      <c r="Q716" s="1336">
        <f t="shared" si="234"/>
        <v>0</v>
      </c>
      <c r="R716" s="1336">
        <f t="shared" si="234"/>
        <v>0</v>
      </c>
      <c r="S716" s="1336">
        <f t="shared" si="234"/>
        <v>0</v>
      </c>
      <c r="T716" s="1336">
        <f t="shared" si="234"/>
        <v>0</v>
      </c>
      <c r="U716" s="1336">
        <f t="shared" si="234"/>
        <v>0</v>
      </c>
      <c r="V716" s="1336">
        <f t="shared" si="234"/>
        <v>0</v>
      </c>
      <c r="W716" s="1336">
        <f t="shared" si="234"/>
        <v>0</v>
      </c>
      <c r="X716" s="1336">
        <f t="shared" si="234"/>
        <v>0</v>
      </c>
      <c r="Y716" s="1336">
        <f t="shared" si="234"/>
        <v>0</v>
      </c>
      <c r="Z716" s="1336">
        <f t="shared" si="234"/>
        <v>0</v>
      </c>
      <c r="AA716" s="1336">
        <f t="shared" si="234"/>
        <v>0</v>
      </c>
      <c r="AB716" s="1336">
        <f t="shared" si="234"/>
        <v>0</v>
      </c>
      <c r="AC716" s="1336">
        <f t="shared" si="234"/>
        <v>0</v>
      </c>
      <c r="AD716" s="1336">
        <f t="shared" si="234"/>
        <v>0</v>
      </c>
      <c r="AE716" s="1336">
        <f t="shared" si="234"/>
        <v>0</v>
      </c>
      <c r="AF716" s="1336">
        <f t="shared" si="234"/>
        <v>0</v>
      </c>
      <c r="AG716" s="1336">
        <f t="shared" si="234"/>
        <v>0</v>
      </c>
      <c r="AH716" s="1336">
        <f t="shared" si="234"/>
        <v>0</v>
      </c>
      <c r="AI716" s="1336">
        <f t="shared" si="234"/>
        <v>0</v>
      </c>
      <c r="AJ716" s="1336">
        <f t="shared" si="234"/>
        <v>0</v>
      </c>
      <c r="AK716" s="1336">
        <f t="shared" si="234"/>
        <v>0</v>
      </c>
      <c r="AL716" s="1336">
        <f t="shared" si="234"/>
        <v>0</v>
      </c>
      <c r="AM716" s="1336">
        <f t="shared" si="234"/>
        <v>0</v>
      </c>
      <c r="AN716" s="1336">
        <f t="shared" si="234"/>
        <v>0</v>
      </c>
      <c r="AO716" s="1336">
        <f t="shared" si="234"/>
        <v>0</v>
      </c>
      <c r="AP716" s="1336">
        <f t="shared" si="234"/>
        <v>0</v>
      </c>
      <c r="AQ716" s="1336">
        <f t="shared" si="234"/>
        <v>0</v>
      </c>
      <c r="AR716" s="1336">
        <f t="shared" si="234"/>
        <v>0</v>
      </c>
      <c r="AS716" s="1336">
        <f t="shared" si="234"/>
        <v>0</v>
      </c>
      <c r="AT716" s="1336">
        <f t="shared" si="234"/>
        <v>0</v>
      </c>
      <c r="AU716" s="1336">
        <f t="shared" si="234"/>
        <v>0</v>
      </c>
      <c r="AV716" s="1336">
        <f t="shared" si="234"/>
        <v>0</v>
      </c>
      <c r="AW716" s="1336">
        <f t="shared" si="234"/>
        <v>0</v>
      </c>
      <c r="AX716" s="1336">
        <f t="shared" si="234"/>
        <v>0</v>
      </c>
      <c r="AY716" s="1336">
        <f t="shared" si="234"/>
        <v>0</v>
      </c>
      <c r="AZ716" s="1336">
        <f t="shared" si="234"/>
        <v>0</v>
      </c>
      <c r="BA716" s="1336">
        <f t="shared" si="234"/>
        <v>0</v>
      </c>
      <c r="BB716" s="1336">
        <f t="shared" si="234"/>
        <v>0</v>
      </c>
      <c r="BC716" s="1336">
        <f t="shared" si="234"/>
        <v>0</v>
      </c>
      <c r="BD716" s="1336">
        <f t="shared" si="234"/>
        <v>0</v>
      </c>
      <c r="BE716" s="1337">
        <f t="shared" si="234"/>
        <v>0</v>
      </c>
      <c r="BF716" s="1192"/>
    </row>
    <row r="717" spans="2:58" x14ac:dyDescent="0.25">
      <c r="B717" s="358"/>
      <c r="C717" s="359" t="s">
        <v>74</v>
      </c>
      <c r="D717" s="359"/>
      <c r="E717" s="359"/>
      <c r="F717" s="359"/>
      <c r="G717" s="369"/>
      <c r="H717" s="369">
        <f>SUM(H715:H716)</f>
        <v>0</v>
      </c>
      <c r="I717" s="369">
        <f t="shared" ref="I717:BE717" si="235">SUM(I715:I716)</f>
        <v>0</v>
      </c>
      <c r="J717" s="369">
        <f t="shared" si="235"/>
        <v>0</v>
      </c>
      <c r="K717" s="369">
        <f t="shared" si="235"/>
        <v>0</v>
      </c>
      <c r="L717" s="369">
        <f t="shared" si="235"/>
        <v>0</v>
      </c>
      <c r="M717" s="369">
        <f t="shared" si="235"/>
        <v>0</v>
      </c>
      <c r="N717" s="369">
        <f t="shared" si="235"/>
        <v>0</v>
      </c>
      <c r="O717" s="369">
        <f t="shared" si="235"/>
        <v>0</v>
      </c>
      <c r="P717" s="369">
        <f t="shared" si="235"/>
        <v>0</v>
      </c>
      <c r="Q717" s="369">
        <f t="shared" si="235"/>
        <v>0</v>
      </c>
      <c r="R717" s="369">
        <f t="shared" si="235"/>
        <v>0</v>
      </c>
      <c r="S717" s="369">
        <f t="shared" si="235"/>
        <v>0</v>
      </c>
      <c r="T717" s="369">
        <f t="shared" si="235"/>
        <v>0</v>
      </c>
      <c r="U717" s="369">
        <f t="shared" si="235"/>
        <v>0</v>
      </c>
      <c r="V717" s="369">
        <f t="shared" si="235"/>
        <v>0</v>
      </c>
      <c r="W717" s="369">
        <f t="shared" si="235"/>
        <v>0</v>
      </c>
      <c r="X717" s="369">
        <f t="shared" si="235"/>
        <v>0</v>
      </c>
      <c r="Y717" s="369">
        <f t="shared" si="235"/>
        <v>0</v>
      </c>
      <c r="Z717" s="369">
        <f t="shared" si="235"/>
        <v>0</v>
      </c>
      <c r="AA717" s="369">
        <f t="shared" si="235"/>
        <v>0</v>
      </c>
      <c r="AB717" s="369">
        <f t="shared" si="235"/>
        <v>0</v>
      </c>
      <c r="AC717" s="369">
        <f t="shared" si="235"/>
        <v>0</v>
      </c>
      <c r="AD717" s="369">
        <f t="shared" si="235"/>
        <v>0</v>
      </c>
      <c r="AE717" s="369">
        <f t="shared" si="235"/>
        <v>0</v>
      </c>
      <c r="AF717" s="369">
        <f t="shared" si="235"/>
        <v>0</v>
      </c>
      <c r="AG717" s="369">
        <f t="shared" si="235"/>
        <v>0</v>
      </c>
      <c r="AH717" s="369">
        <f t="shared" si="235"/>
        <v>0</v>
      </c>
      <c r="AI717" s="369">
        <f t="shared" si="235"/>
        <v>0</v>
      </c>
      <c r="AJ717" s="369">
        <f t="shared" si="235"/>
        <v>0</v>
      </c>
      <c r="AK717" s="369">
        <f t="shared" si="235"/>
        <v>0</v>
      </c>
      <c r="AL717" s="369">
        <f t="shared" si="235"/>
        <v>0</v>
      </c>
      <c r="AM717" s="369">
        <f t="shared" si="235"/>
        <v>0</v>
      </c>
      <c r="AN717" s="369">
        <f t="shared" si="235"/>
        <v>0</v>
      </c>
      <c r="AO717" s="369">
        <f t="shared" si="235"/>
        <v>0</v>
      </c>
      <c r="AP717" s="369">
        <f t="shared" si="235"/>
        <v>0</v>
      </c>
      <c r="AQ717" s="369">
        <f t="shared" si="235"/>
        <v>0</v>
      </c>
      <c r="AR717" s="369">
        <f t="shared" si="235"/>
        <v>0</v>
      </c>
      <c r="AS717" s="369">
        <f t="shared" si="235"/>
        <v>0</v>
      </c>
      <c r="AT717" s="369">
        <f t="shared" si="235"/>
        <v>0</v>
      </c>
      <c r="AU717" s="369">
        <f t="shared" si="235"/>
        <v>0</v>
      </c>
      <c r="AV717" s="369">
        <f t="shared" si="235"/>
        <v>0</v>
      </c>
      <c r="AW717" s="369">
        <f t="shared" si="235"/>
        <v>0</v>
      </c>
      <c r="AX717" s="369">
        <f t="shared" si="235"/>
        <v>0</v>
      </c>
      <c r="AY717" s="369">
        <f t="shared" si="235"/>
        <v>0</v>
      </c>
      <c r="AZ717" s="369">
        <f t="shared" si="235"/>
        <v>0</v>
      </c>
      <c r="BA717" s="369">
        <f t="shared" si="235"/>
        <v>0</v>
      </c>
      <c r="BB717" s="369">
        <f t="shared" si="235"/>
        <v>0</v>
      </c>
      <c r="BC717" s="369">
        <f t="shared" si="235"/>
        <v>0</v>
      </c>
      <c r="BD717" s="369">
        <f t="shared" si="235"/>
        <v>0</v>
      </c>
      <c r="BE717" s="1335">
        <f t="shared" si="235"/>
        <v>0</v>
      </c>
      <c r="BF717" s="1192"/>
    </row>
    <row r="718" spans="2:58" x14ac:dyDescent="0.25">
      <c r="B718" s="358"/>
      <c r="C718" s="359"/>
      <c r="D718" s="359"/>
      <c r="E718" s="359"/>
      <c r="F718" s="359"/>
      <c r="G718" s="369"/>
      <c r="H718" s="369"/>
      <c r="I718" s="369"/>
      <c r="J718" s="369"/>
      <c r="K718" s="369"/>
      <c r="L718" s="369"/>
      <c r="M718" s="369"/>
      <c r="N718" s="369"/>
      <c r="O718" s="369"/>
      <c r="P718" s="369"/>
      <c r="Q718" s="369"/>
      <c r="R718" s="369"/>
      <c r="S718" s="369"/>
      <c r="T718" s="369"/>
      <c r="U718" s="369"/>
      <c r="V718" s="369"/>
      <c r="W718" s="369"/>
      <c r="X718" s="369"/>
      <c r="Y718" s="369"/>
      <c r="Z718" s="369"/>
      <c r="AA718" s="369"/>
      <c r="AB718" s="369"/>
      <c r="AC718" s="369"/>
      <c r="AD718" s="369"/>
      <c r="AE718" s="369"/>
      <c r="AF718" s="369"/>
      <c r="AG718" s="369"/>
      <c r="AH718" s="369"/>
      <c r="AI718" s="369"/>
      <c r="AJ718" s="369"/>
      <c r="AK718" s="369"/>
      <c r="AL718" s="369"/>
      <c r="AM718" s="369"/>
      <c r="AN718" s="369"/>
      <c r="AO718" s="369"/>
      <c r="AP718" s="369"/>
      <c r="AQ718" s="369"/>
      <c r="AR718" s="369"/>
      <c r="AS718" s="369"/>
      <c r="AT718" s="369"/>
      <c r="AU718" s="369"/>
      <c r="AV718" s="369"/>
      <c r="AW718" s="369"/>
      <c r="AX718" s="369"/>
      <c r="AY718" s="369"/>
      <c r="AZ718" s="369"/>
      <c r="BA718" s="369"/>
      <c r="BB718" s="369"/>
      <c r="BC718" s="369"/>
      <c r="BD718" s="369"/>
      <c r="BE718" s="1335"/>
      <c r="BF718" s="1192"/>
    </row>
    <row r="719" spans="2:58" x14ac:dyDescent="0.25">
      <c r="B719" s="358"/>
      <c r="C719" s="417" t="s">
        <v>65</v>
      </c>
      <c r="D719" s="359"/>
      <c r="E719" s="359"/>
      <c r="F719" s="359"/>
      <c r="G719" s="369"/>
      <c r="H719" s="369"/>
      <c r="I719" s="369"/>
      <c r="J719" s="369"/>
      <c r="K719" s="369"/>
      <c r="L719" s="369"/>
      <c r="M719" s="369"/>
      <c r="N719" s="369"/>
      <c r="O719" s="369"/>
      <c r="P719" s="369"/>
      <c r="Q719" s="369"/>
      <c r="R719" s="369"/>
      <c r="S719" s="369"/>
      <c r="T719" s="369"/>
      <c r="U719" s="369"/>
      <c r="V719" s="369"/>
      <c r="W719" s="369"/>
      <c r="X719" s="369"/>
      <c r="Y719" s="369"/>
      <c r="Z719" s="369"/>
      <c r="AA719" s="369"/>
      <c r="AB719" s="369"/>
      <c r="AC719" s="369"/>
      <c r="AD719" s="369"/>
      <c r="AE719" s="369"/>
      <c r="AF719" s="369"/>
      <c r="AG719" s="369"/>
      <c r="AH719" s="369"/>
      <c r="AI719" s="369"/>
      <c r="AJ719" s="369"/>
      <c r="AK719" s="369"/>
      <c r="AL719" s="369"/>
      <c r="AM719" s="369"/>
      <c r="AN719" s="369"/>
      <c r="AO719" s="369"/>
      <c r="AP719" s="369"/>
      <c r="AQ719" s="369"/>
      <c r="AR719" s="369"/>
      <c r="AS719" s="369"/>
      <c r="AT719" s="369"/>
      <c r="AU719" s="369"/>
      <c r="AV719" s="369"/>
      <c r="AW719" s="369"/>
      <c r="AX719" s="369"/>
      <c r="AY719" s="369"/>
      <c r="AZ719" s="369"/>
      <c r="BA719" s="369"/>
      <c r="BB719" s="369"/>
      <c r="BC719" s="369"/>
      <c r="BD719" s="369"/>
      <c r="BE719" s="1335"/>
      <c r="BF719" s="1192"/>
    </row>
    <row r="720" spans="2:58" x14ac:dyDescent="0.25">
      <c r="B720" s="358"/>
      <c r="C720" s="359" t="s">
        <v>75</v>
      </c>
      <c r="D720" s="359"/>
      <c r="E720" s="359"/>
      <c r="F720" s="359"/>
      <c r="G720" s="369">
        <v>0</v>
      </c>
      <c r="H720" s="369">
        <f t="shared" ref="H720:AM720" si="236">G723</f>
        <v>0</v>
      </c>
      <c r="I720" s="369">
        <f t="shared" si="236"/>
        <v>0</v>
      </c>
      <c r="J720" s="369">
        <f t="shared" si="236"/>
        <v>0</v>
      </c>
      <c r="K720" s="369">
        <f t="shared" si="236"/>
        <v>0</v>
      </c>
      <c r="L720" s="369">
        <f t="shared" si="236"/>
        <v>0</v>
      </c>
      <c r="M720" s="369">
        <f t="shared" si="236"/>
        <v>0</v>
      </c>
      <c r="N720" s="369">
        <f t="shared" si="236"/>
        <v>0</v>
      </c>
      <c r="O720" s="369">
        <f t="shared" si="236"/>
        <v>0</v>
      </c>
      <c r="P720" s="369">
        <f t="shared" si="236"/>
        <v>0</v>
      </c>
      <c r="Q720" s="369">
        <f t="shared" si="236"/>
        <v>0</v>
      </c>
      <c r="R720" s="369">
        <f t="shared" si="236"/>
        <v>0</v>
      </c>
      <c r="S720" s="369">
        <f t="shared" si="236"/>
        <v>0</v>
      </c>
      <c r="T720" s="369">
        <f t="shared" si="236"/>
        <v>0</v>
      </c>
      <c r="U720" s="369">
        <f t="shared" si="236"/>
        <v>0</v>
      </c>
      <c r="V720" s="369">
        <f t="shared" si="236"/>
        <v>0</v>
      </c>
      <c r="W720" s="369">
        <f t="shared" si="236"/>
        <v>0</v>
      </c>
      <c r="X720" s="369">
        <f t="shared" si="236"/>
        <v>0</v>
      </c>
      <c r="Y720" s="369">
        <f t="shared" si="236"/>
        <v>0</v>
      </c>
      <c r="Z720" s="369">
        <f t="shared" si="236"/>
        <v>0</v>
      </c>
      <c r="AA720" s="369">
        <f t="shared" si="236"/>
        <v>0</v>
      </c>
      <c r="AB720" s="369">
        <f t="shared" si="236"/>
        <v>0</v>
      </c>
      <c r="AC720" s="369">
        <f t="shared" si="236"/>
        <v>0</v>
      </c>
      <c r="AD720" s="369">
        <f t="shared" si="236"/>
        <v>0</v>
      </c>
      <c r="AE720" s="369">
        <f t="shared" si="236"/>
        <v>0</v>
      </c>
      <c r="AF720" s="369">
        <f t="shared" si="236"/>
        <v>0</v>
      </c>
      <c r="AG720" s="369">
        <f t="shared" si="236"/>
        <v>0</v>
      </c>
      <c r="AH720" s="369">
        <f t="shared" si="236"/>
        <v>0</v>
      </c>
      <c r="AI720" s="369">
        <f t="shared" si="236"/>
        <v>0</v>
      </c>
      <c r="AJ720" s="369">
        <f t="shared" si="236"/>
        <v>0</v>
      </c>
      <c r="AK720" s="369">
        <f t="shared" si="236"/>
        <v>0</v>
      </c>
      <c r="AL720" s="369">
        <f t="shared" si="236"/>
        <v>0</v>
      </c>
      <c r="AM720" s="369">
        <f t="shared" si="236"/>
        <v>0</v>
      </c>
      <c r="AN720" s="369">
        <f t="shared" ref="AN720:BE720" si="237">AM723</f>
        <v>0</v>
      </c>
      <c r="AO720" s="369">
        <f t="shared" si="237"/>
        <v>0</v>
      </c>
      <c r="AP720" s="369">
        <f t="shared" si="237"/>
        <v>0</v>
      </c>
      <c r="AQ720" s="369">
        <f t="shared" si="237"/>
        <v>0</v>
      </c>
      <c r="AR720" s="369">
        <f t="shared" si="237"/>
        <v>0</v>
      </c>
      <c r="AS720" s="369">
        <f t="shared" si="237"/>
        <v>0</v>
      </c>
      <c r="AT720" s="369">
        <f t="shared" si="237"/>
        <v>0</v>
      </c>
      <c r="AU720" s="369">
        <f t="shared" si="237"/>
        <v>0</v>
      </c>
      <c r="AV720" s="369">
        <f t="shared" si="237"/>
        <v>0</v>
      </c>
      <c r="AW720" s="369">
        <f t="shared" si="237"/>
        <v>0</v>
      </c>
      <c r="AX720" s="369">
        <f t="shared" si="237"/>
        <v>0</v>
      </c>
      <c r="AY720" s="369">
        <f t="shared" si="237"/>
        <v>0</v>
      </c>
      <c r="AZ720" s="369">
        <f t="shared" si="237"/>
        <v>0</v>
      </c>
      <c r="BA720" s="369">
        <f t="shared" si="237"/>
        <v>0</v>
      </c>
      <c r="BB720" s="369">
        <f t="shared" si="237"/>
        <v>0</v>
      </c>
      <c r="BC720" s="369">
        <f t="shared" si="237"/>
        <v>0</v>
      </c>
      <c r="BD720" s="369">
        <f t="shared" si="237"/>
        <v>0</v>
      </c>
      <c r="BE720" s="1335">
        <f t="shared" si="237"/>
        <v>0</v>
      </c>
      <c r="BF720" s="1192"/>
    </row>
    <row r="721" spans="2:58" x14ac:dyDescent="0.25">
      <c r="B721" s="358"/>
      <c r="C721" s="359" t="s">
        <v>76</v>
      </c>
      <c r="D721" s="359"/>
      <c r="E721" s="359"/>
      <c r="F721" s="359"/>
      <c r="G721" s="369">
        <f>G708</f>
        <v>0</v>
      </c>
      <c r="H721" s="369">
        <v>0</v>
      </c>
      <c r="I721" s="369">
        <v>0</v>
      </c>
      <c r="J721" s="369">
        <v>0</v>
      </c>
      <c r="K721" s="369">
        <v>0</v>
      </c>
      <c r="L721" s="369">
        <v>0</v>
      </c>
      <c r="M721" s="369">
        <v>0</v>
      </c>
      <c r="N721" s="369">
        <v>0</v>
      </c>
      <c r="O721" s="369">
        <v>0</v>
      </c>
      <c r="P721" s="369">
        <v>0</v>
      </c>
      <c r="Q721" s="369">
        <v>0</v>
      </c>
      <c r="R721" s="369">
        <v>0</v>
      </c>
      <c r="S721" s="369">
        <v>0</v>
      </c>
      <c r="T721" s="369">
        <v>0</v>
      </c>
      <c r="U721" s="369">
        <v>0</v>
      </c>
      <c r="V721" s="369">
        <v>0</v>
      </c>
      <c r="W721" s="369">
        <v>0</v>
      </c>
      <c r="X721" s="369">
        <v>0</v>
      </c>
      <c r="Y721" s="369">
        <v>0</v>
      </c>
      <c r="Z721" s="369">
        <v>0</v>
      </c>
      <c r="AA721" s="369">
        <v>0</v>
      </c>
      <c r="AB721" s="369">
        <v>0</v>
      </c>
      <c r="AC721" s="369">
        <v>0</v>
      </c>
      <c r="AD721" s="369">
        <v>0</v>
      </c>
      <c r="AE721" s="369">
        <v>0</v>
      </c>
      <c r="AF721" s="369">
        <v>0</v>
      </c>
      <c r="AG721" s="369">
        <v>0</v>
      </c>
      <c r="AH721" s="369">
        <v>0</v>
      </c>
      <c r="AI721" s="369">
        <v>0</v>
      </c>
      <c r="AJ721" s="369">
        <v>0</v>
      </c>
      <c r="AK721" s="369">
        <v>0</v>
      </c>
      <c r="AL721" s="369">
        <v>0</v>
      </c>
      <c r="AM721" s="369">
        <v>0</v>
      </c>
      <c r="AN721" s="369">
        <v>0</v>
      </c>
      <c r="AO721" s="369">
        <v>0</v>
      </c>
      <c r="AP721" s="369">
        <v>0</v>
      </c>
      <c r="AQ721" s="369">
        <v>0</v>
      </c>
      <c r="AR721" s="369">
        <v>0</v>
      </c>
      <c r="AS721" s="369">
        <v>0</v>
      </c>
      <c r="AT721" s="369">
        <v>0</v>
      </c>
      <c r="AU721" s="369">
        <v>0</v>
      </c>
      <c r="AV721" s="369">
        <v>0</v>
      </c>
      <c r="AW721" s="369">
        <v>0</v>
      </c>
      <c r="AX721" s="369">
        <v>0</v>
      </c>
      <c r="AY721" s="369">
        <v>0</v>
      </c>
      <c r="AZ721" s="369">
        <v>0</v>
      </c>
      <c r="BA721" s="369">
        <v>0</v>
      </c>
      <c r="BB721" s="369">
        <v>0</v>
      </c>
      <c r="BC721" s="369">
        <v>0</v>
      </c>
      <c r="BD721" s="369">
        <v>0</v>
      </c>
      <c r="BE721" s="1335">
        <v>0</v>
      </c>
      <c r="BF721" s="1192"/>
    </row>
    <row r="722" spans="2:58" x14ac:dyDescent="0.25">
      <c r="B722" s="358"/>
      <c r="C722" s="366" t="s">
        <v>77</v>
      </c>
      <c r="D722" s="366"/>
      <c r="E722" s="366"/>
      <c r="F722" s="366"/>
      <c r="G722" s="1336">
        <v>0</v>
      </c>
      <c r="H722" s="1336">
        <f>-H716</f>
        <v>0</v>
      </c>
      <c r="I722" s="1336">
        <f t="shared" ref="I722:BE722" si="238">-I716</f>
        <v>0</v>
      </c>
      <c r="J722" s="1336">
        <f t="shared" si="238"/>
        <v>0</v>
      </c>
      <c r="K722" s="1336">
        <f t="shared" si="238"/>
        <v>0</v>
      </c>
      <c r="L722" s="1336">
        <f t="shared" si="238"/>
        <v>0</v>
      </c>
      <c r="M722" s="1336">
        <f t="shared" si="238"/>
        <v>0</v>
      </c>
      <c r="N722" s="1336">
        <f t="shared" si="238"/>
        <v>0</v>
      </c>
      <c r="O722" s="1336">
        <f t="shared" si="238"/>
        <v>0</v>
      </c>
      <c r="P722" s="1336">
        <f t="shared" si="238"/>
        <v>0</v>
      </c>
      <c r="Q722" s="1336">
        <f t="shared" si="238"/>
        <v>0</v>
      </c>
      <c r="R722" s="1336">
        <f t="shared" si="238"/>
        <v>0</v>
      </c>
      <c r="S722" s="1336">
        <f t="shared" si="238"/>
        <v>0</v>
      </c>
      <c r="T722" s="1336">
        <f t="shared" si="238"/>
        <v>0</v>
      </c>
      <c r="U722" s="1336">
        <f t="shared" si="238"/>
        <v>0</v>
      </c>
      <c r="V722" s="1336">
        <f t="shared" si="238"/>
        <v>0</v>
      </c>
      <c r="W722" s="1336">
        <f t="shared" si="238"/>
        <v>0</v>
      </c>
      <c r="X722" s="1336">
        <f t="shared" si="238"/>
        <v>0</v>
      </c>
      <c r="Y722" s="1336">
        <f t="shared" si="238"/>
        <v>0</v>
      </c>
      <c r="Z722" s="1336">
        <f t="shared" si="238"/>
        <v>0</v>
      </c>
      <c r="AA722" s="1336">
        <f t="shared" si="238"/>
        <v>0</v>
      </c>
      <c r="AB722" s="1336">
        <f t="shared" si="238"/>
        <v>0</v>
      </c>
      <c r="AC722" s="1336">
        <f t="shared" si="238"/>
        <v>0</v>
      </c>
      <c r="AD722" s="1336">
        <f t="shared" si="238"/>
        <v>0</v>
      </c>
      <c r="AE722" s="1336">
        <f t="shared" si="238"/>
        <v>0</v>
      </c>
      <c r="AF722" s="1336">
        <f t="shared" si="238"/>
        <v>0</v>
      </c>
      <c r="AG722" s="1336">
        <f t="shared" si="238"/>
        <v>0</v>
      </c>
      <c r="AH722" s="1336">
        <f t="shared" si="238"/>
        <v>0</v>
      </c>
      <c r="AI722" s="1336">
        <f t="shared" si="238"/>
        <v>0</v>
      </c>
      <c r="AJ722" s="1336">
        <f t="shared" si="238"/>
        <v>0</v>
      </c>
      <c r="AK722" s="1336">
        <f t="shared" si="238"/>
        <v>0</v>
      </c>
      <c r="AL722" s="1336">
        <f t="shared" si="238"/>
        <v>0</v>
      </c>
      <c r="AM722" s="1336">
        <f t="shared" si="238"/>
        <v>0</v>
      </c>
      <c r="AN722" s="1336">
        <f t="shared" si="238"/>
        <v>0</v>
      </c>
      <c r="AO722" s="1336">
        <f t="shared" si="238"/>
        <v>0</v>
      </c>
      <c r="AP722" s="1336">
        <f t="shared" si="238"/>
        <v>0</v>
      </c>
      <c r="AQ722" s="1336">
        <f t="shared" si="238"/>
        <v>0</v>
      </c>
      <c r="AR722" s="1336">
        <f t="shared" si="238"/>
        <v>0</v>
      </c>
      <c r="AS722" s="1336">
        <f t="shared" si="238"/>
        <v>0</v>
      </c>
      <c r="AT722" s="1336">
        <f t="shared" si="238"/>
        <v>0</v>
      </c>
      <c r="AU722" s="1336">
        <f t="shared" si="238"/>
        <v>0</v>
      </c>
      <c r="AV722" s="1336">
        <f t="shared" si="238"/>
        <v>0</v>
      </c>
      <c r="AW722" s="1336">
        <f t="shared" si="238"/>
        <v>0</v>
      </c>
      <c r="AX722" s="1336">
        <f t="shared" si="238"/>
        <v>0</v>
      </c>
      <c r="AY722" s="1336">
        <f t="shared" si="238"/>
        <v>0</v>
      </c>
      <c r="AZ722" s="1336">
        <f t="shared" si="238"/>
        <v>0</v>
      </c>
      <c r="BA722" s="1336">
        <f t="shared" si="238"/>
        <v>0</v>
      </c>
      <c r="BB722" s="1336">
        <f t="shared" si="238"/>
        <v>0</v>
      </c>
      <c r="BC722" s="1336">
        <f t="shared" si="238"/>
        <v>0</v>
      </c>
      <c r="BD722" s="1336">
        <f t="shared" si="238"/>
        <v>0</v>
      </c>
      <c r="BE722" s="1337">
        <f t="shared" si="238"/>
        <v>0</v>
      </c>
      <c r="BF722" s="1192"/>
    </row>
    <row r="723" spans="2:58" x14ac:dyDescent="0.25">
      <c r="B723" s="358"/>
      <c r="C723" s="359" t="s">
        <v>66</v>
      </c>
      <c r="D723" s="359"/>
      <c r="E723" s="359"/>
      <c r="F723" s="359"/>
      <c r="G723" s="369">
        <f>SUM(G720:G722)</f>
        <v>0</v>
      </c>
      <c r="H723" s="369">
        <f>SUM(H720:H722)</f>
        <v>0</v>
      </c>
      <c r="I723" s="369">
        <f t="shared" ref="I723:BE723" si="239">SUM(I720:I722)</f>
        <v>0</v>
      </c>
      <c r="J723" s="369">
        <f t="shared" si="239"/>
        <v>0</v>
      </c>
      <c r="K723" s="369">
        <f t="shared" si="239"/>
        <v>0</v>
      </c>
      <c r="L723" s="369">
        <f t="shared" si="239"/>
        <v>0</v>
      </c>
      <c r="M723" s="369">
        <f t="shared" si="239"/>
        <v>0</v>
      </c>
      <c r="N723" s="369">
        <f t="shared" si="239"/>
        <v>0</v>
      </c>
      <c r="O723" s="369">
        <f t="shared" si="239"/>
        <v>0</v>
      </c>
      <c r="P723" s="369">
        <f t="shared" si="239"/>
        <v>0</v>
      </c>
      <c r="Q723" s="369">
        <f t="shared" si="239"/>
        <v>0</v>
      </c>
      <c r="R723" s="369">
        <f t="shared" si="239"/>
        <v>0</v>
      </c>
      <c r="S723" s="369">
        <f t="shared" si="239"/>
        <v>0</v>
      </c>
      <c r="T723" s="369">
        <f t="shared" si="239"/>
        <v>0</v>
      </c>
      <c r="U723" s="369">
        <f t="shared" si="239"/>
        <v>0</v>
      </c>
      <c r="V723" s="369">
        <f t="shared" si="239"/>
        <v>0</v>
      </c>
      <c r="W723" s="369">
        <f t="shared" si="239"/>
        <v>0</v>
      </c>
      <c r="X723" s="369">
        <f t="shared" si="239"/>
        <v>0</v>
      </c>
      <c r="Y723" s="369">
        <f t="shared" si="239"/>
        <v>0</v>
      </c>
      <c r="Z723" s="369">
        <f t="shared" si="239"/>
        <v>0</v>
      </c>
      <c r="AA723" s="369">
        <f t="shared" si="239"/>
        <v>0</v>
      </c>
      <c r="AB723" s="369">
        <f t="shared" si="239"/>
        <v>0</v>
      </c>
      <c r="AC723" s="369">
        <f t="shared" si="239"/>
        <v>0</v>
      </c>
      <c r="AD723" s="369">
        <f t="shared" si="239"/>
        <v>0</v>
      </c>
      <c r="AE723" s="369">
        <f t="shared" si="239"/>
        <v>0</v>
      </c>
      <c r="AF723" s="369">
        <f t="shared" si="239"/>
        <v>0</v>
      </c>
      <c r="AG723" s="369">
        <f t="shared" si="239"/>
        <v>0</v>
      </c>
      <c r="AH723" s="369">
        <f t="shared" si="239"/>
        <v>0</v>
      </c>
      <c r="AI723" s="369">
        <f t="shared" si="239"/>
        <v>0</v>
      </c>
      <c r="AJ723" s="369">
        <f t="shared" si="239"/>
        <v>0</v>
      </c>
      <c r="AK723" s="369">
        <f t="shared" si="239"/>
        <v>0</v>
      </c>
      <c r="AL723" s="369">
        <f t="shared" si="239"/>
        <v>0</v>
      </c>
      <c r="AM723" s="369">
        <f t="shared" si="239"/>
        <v>0</v>
      </c>
      <c r="AN723" s="369">
        <f t="shared" si="239"/>
        <v>0</v>
      </c>
      <c r="AO723" s="369">
        <f t="shared" si="239"/>
        <v>0</v>
      </c>
      <c r="AP723" s="369">
        <f t="shared" si="239"/>
        <v>0</v>
      </c>
      <c r="AQ723" s="369">
        <f t="shared" si="239"/>
        <v>0</v>
      </c>
      <c r="AR723" s="369">
        <f t="shared" si="239"/>
        <v>0</v>
      </c>
      <c r="AS723" s="369">
        <f t="shared" si="239"/>
        <v>0</v>
      </c>
      <c r="AT723" s="369">
        <f t="shared" si="239"/>
        <v>0</v>
      </c>
      <c r="AU723" s="369">
        <f t="shared" si="239"/>
        <v>0</v>
      </c>
      <c r="AV723" s="369">
        <f t="shared" si="239"/>
        <v>0</v>
      </c>
      <c r="AW723" s="369">
        <f t="shared" si="239"/>
        <v>0</v>
      </c>
      <c r="AX723" s="369">
        <f t="shared" si="239"/>
        <v>0</v>
      </c>
      <c r="AY723" s="369">
        <f t="shared" si="239"/>
        <v>0</v>
      </c>
      <c r="AZ723" s="369">
        <f t="shared" si="239"/>
        <v>0</v>
      </c>
      <c r="BA723" s="369">
        <f t="shared" si="239"/>
        <v>0</v>
      </c>
      <c r="BB723" s="369">
        <f t="shared" si="239"/>
        <v>0</v>
      </c>
      <c r="BC723" s="369">
        <f t="shared" si="239"/>
        <v>0</v>
      </c>
      <c r="BD723" s="369">
        <f t="shared" si="239"/>
        <v>0</v>
      </c>
      <c r="BE723" s="1335">
        <f t="shared" si="239"/>
        <v>0</v>
      </c>
      <c r="BF723" s="1192"/>
    </row>
    <row r="724" spans="2:58" x14ac:dyDescent="0.25">
      <c r="B724" s="358"/>
      <c r="C724" s="359"/>
      <c r="D724" s="359"/>
      <c r="E724" s="359"/>
      <c r="F724" s="359"/>
      <c r="G724" s="369"/>
      <c r="H724" s="369"/>
      <c r="I724" s="369"/>
      <c r="J724" s="369"/>
      <c r="K724" s="369"/>
      <c r="L724" s="369"/>
      <c r="M724" s="369"/>
      <c r="N724" s="369"/>
      <c r="O724" s="369"/>
      <c r="P724" s="369"/>
      <c r="Q724" s="369"/>
      <c r="R724" s="369"/>
      <c r="S724" s="369"/>
      <c r="T724" s="369"/>
      <c r="U724" s="369"/>
      <c r="V724" s="369"/>
      <c r="W724" s="369"/>
      <c r="X724" s="369"/>
      <c r="Y724" s="369"/>
      <c r="Z724" s="369"/>
      <c r="AA724" s="369"/>
      <c r="AB724" s="369"/>
      <c r="AC724" s="369"/>
      <c r="AD724" s="369"/>
      <c r="AE724" s="369"/>
      <c r="AF724" s="369"/>
      <c r="AG724" s="369"/>
      <c r="AH724" s="369"/>
      <c r="AI724" s="369"/>
      <c r="AJ724" s="369"/>
      <c r="AK724" s="369"/>
      <c r="AL724" s="369"/>
      <c r="AM724" s="369"/>
      <c r="AN724" s="369"/>
      <c r="AO724" s="369"/>
      <c r="AP724" s="369"/>
      <c r="AQ724" s="369"/>
      <c r="AR724" s="369"/>
      <c r="AS724" s="369"/>
      <c r="AT724" s="369"/>
      <c r="AU724" s="369"/>
      <c r="AV724" s="369"/>
      <c r="AW724" s="369"/>
      <c r="AX724" s="369"/>
      <c r="AY724" s="369"/>
      <c r="AZ724" s="369"/>
      <c r="BA724" s="369"/>
      <c r="BB724" s="369"/>
      <c r="BC724" s="369"/>
      <c r="BD724" s="369"/>
      <c r="BE724" s="1335"/>
      <c r="BF724" s="1192"/>
    </row>
    <row r="725" spans="2:58" x14ac:dyDescent="0.25">
      <c r="B725" s="358"/>
      <c r="C725" s="417" t="s">
        <v>71</v>
      </c>
      <c r="D725" s="359"/>
      <c r="E725" s="359"/>
      <c r="F725" s="359"/>
      <c r="G725" s="369"/>
      <c r="H725" s="369"/>
      <c r="I725" s="369"/>
      <c r="J725" s="369"/>
      <c r="K725" s="369"/>
      <c r="L725" s="369"/>
      <c r="M725" s="369"/>
      <c r="N725" s="369"/>
      <c r="O725" s="369"/>
      <c r="P725" s="369"/>
      <c r="Q725" s="369"/>
      <c r="R725" s="369"/>
      <c r="S725" s="369"/>
      <c r="T725" s="369"/>
      <c r="U725" s="369"/>
      <c r="V725" s="369"/>
      <c r="W725" s="369"/>
      <c r="X725" s="369"/>
      <c r="Y725" s="369"/>
      <c r="Z725" s="369"/>
      <c r="AA725" s="369"/>
      <c r="AB725" s="369"/>
      <c r="AC725" s="369"/>
      <c r="AD725" s="369"/>
      <c r="AE725" s="369"/>
      <c r="AF725" s="369"/>
      <c r="AG725" s="369"/>
      <c r="AH725" s="369"/>
      <c r="AI725" s="369"/>
      <c r="AJ725" s="369"/>
      <c r="AK725" s="369"/>
      <c r="AL725" s="369"/>
      <c r="AM725" s="369"/>
      <c r="AN725" s="369"/>
      <c r="AO725" s="369"/>
      <c r="AP725" s="369"/>
      <c r="AQ725" s="369"/>
      <c r="AR725" s="369"/>
      <c r="AS725" s="369"/>
      <c r="AT725" s="369"/>
      <c r="AU725" s="369"/>
      <c r="AV725" s="369"/>
      <c r="AW725" s="369"/>
      <c r="AX725" s="369"/>
      <c r="AY725" s="369"/>
      <c r="AZ725" s="369"/>
      <c r="BA725" s="369"/>
      <c r="BB725" s="369"/>
      <c r="BC725" s="369"/>
      <c r="BD725" s="369"/>
      <c r="BE725" s="1335"/>
      <c r="BF725" s="1192"/>
    </row>
    <row r="726" spans="2:58" x14ac:dyDescent="0.25">
      <c r="B726" s="358"/>
      <c r="C726" s="359" t="s">
        <v>233</v>
      </c>
      <c r="D726" s="359"/>
      <c r="E726" s="359"/>
      <c r="F726" s="359"/>
      <c r="G726" s="369"/>
      <c r="H726" s="369">
        <f>IF($G708&gt;0, $G708*'II. Inputs, Baseline Energy Mix'!$S$74/10000,0)</f>
        <v>0</v>
      </c>
      <c r="I726" s="369">
        <v>0</v>
      </c>
      <c r="J726" s="369">
        <v>0</v>
      </c>
      <c r="K726" s="369">
        <v>0</v>
      </c>
      <c r="L726" s="369">
        <v>0</v>
      </c>
      <c r="M726" s="369">
        <v>0</v>
      </c>
      <c r="N726" s="369">
        <v>0</v>
      </c>
      <c r="O726" s="369">
        <v>0</v>
      </c>
      <c r="P726" s="369">
        <v>0</v>
      </c>
      <c r="Q726" s="369">
        <v>0</v>
      </c>
      <c r="R726" s="369">
        <v>0</v>
      </c>
      <c r="S726" s="369">
        <v>0</v>
      </c>
      <c r="T726" s="369">
        <v>0</v>
      </c>
      <c r="U726" s="369">
        <v>0</v>
      </c>
      <c r="V726" s="369">
        <v>0</v>
      </c>
      <c r="W726" s="369">
        <v>0</v>
      </c>
      <c r="X726" s="369">
        <v>0</v>
      </c>
      <c r="Y726" s="369">
        <v>0</v>
      </c>
      <c r="Z726" s="369">
        <v>0</v>
      </c>
      <c r="AA726" s="369">
        <v>0</v>
      </c>
      <c r="AB726" s="369">
        <v>0</v>
      </c>
      <c r="AC726" s="369">
        <v>0</v>
      </c>
      <c r="AD726" s="369">
        <v>0</v>
      </c>
      <c r="AE726" s="369">
        <v>0</v>
      </c>
      <c r="AF726" s="369">
        <v>0</v>
      </c>
      <c r="AG726" s="369">
        <v>0</v>
      </c>
      <c r="AH726" s="369">
        <v>0</v>
      </c>
      <c r="AI726" s="369">
        <v>0</v>
      </c>
      <c r="AJ726" s="369">
        <v>0</v>
      </c>
      <c r="AK726" s="369">
        <v>0</v>
      </c>
      <c r="AL726" s="369">
        <v>0</v>
      </c>
      <c r="AM726" s="369">
        <v>0</v>
      </c>
      <c r="AN726" s="369">
        <v>0</v>
      </c>
      <c r="AO726" s="369">
        <v>0</v>
      </c>
      <c r="AP726" s="369">
        <v>0</v>
      </c>
      <c r="AQ726" s="369">
        <v>0</v>
      </c>
      <c r="AR726" s="369">
        <v>0</v>
      </c>
      <c r="AS726" s="369">
        <v>0</v>
      </c>
      <c r="AT726" s="369">
        <v>0</v>
      </c>
      <c r="AU726" s="369">
        <v>0</v>
      </c>
      <c r="AV726" s="369">
        <v>0</v>
      </c>
      <c r="AW726" s="369">
        <v>0</v>
      </c>
      <c r="AX726" s="369">
        <v>0</v>
      </c>
      <c r="AY726" s="369">
        <v>0</v>
      </c>
      <c r="AZ726" s="369">
        <v>0</v>
      </c>
      <c r="BA726" s="369">
        <v>0</v>
      </c>
      <c r="BB726" s="369">
        <v>0</v>
      </c>
      <c r="BC726" s="369">
        <v>0</v>
      </c>
      <c r="BD726" s="369">
        <v>0</v>
      </c>
      <c r="BE726" s="1335">
        <v>0</v>
      </c>
      <c r="BF726" s="1192"/>
    </row>
    <row r="727" spans="2:58" x14ac:dyDescent="0.25">
      <c r="B727" s="358"/>
      <c r="C727" s="359" t="str">
        <f>'II. Inputs, Baseline Energy Mix'!$E$77</f>
        <v>Front-end Fee, Public Guarantee</v>
      </c>
      <c r="D727" s="359"/>
      <c r="E727" s="359"/>
      <c r="F727" s="359"/>
      <c r="G727" s="369"/>
      <c r="H727" s="369">
        <f>IF($G708&gt;0, $G708*$G711*'II. Inputs, Baseline Energy Mix'!$S$77/10000,0)</f>
        <v>0</v>
      </c>
      <c r="I727" s="369">
        <v>0</v>
      </c>
      <c r="J727" s="369">
        <v>0</v>
      </c>
      <c r="K727" s="369">
        <v>0</v>
      </c>
      <c r="L727" s="369">
        <v>0</v>
      </c>
      <c r="M727" s="369">
        <v>0</v>
      </c>
      <c r="N727" s="369">
        <v>0</v>
      </c>
      <c r="O727" s="369">
        <v>0</v>
      </c>
      <c r="P727" s="369">
        <v>0</v>
      </c>
      <c r="Q727" s="369">
        <v>0</v>
      </c>
      <c r="R727" s="369">
        <v>0</v>
      </c>
      <c r="S727" s="369">
        <v>0</v>
      </c>
      <c r="T727" s="369">
        <v>0</v>
      </c>
      <c r="U727" s="369">
        <v>0</v>
      </c>
      <c r="V727" s="369">
        <v>0</v>
      </c>
      <c r="W727" s="369">
        <v>0</v>
      </c>
      <c r="X727" s="369">
        <v>0</v>
      </c>
      <c r="Y727" s="369">
        <v>0</v>
      </c>
      <c r="Z727" s="369">
        <v>0</v>
      </c>
      <c r="AA727" s="369">
        <v>0</v>
      </c>
      <c r="AB727" s="369">
        <v>0</v>
      </c>
      <c r="AC727" s="369">
        <v>0</v>
      </c>
      <c r="AD727" s="369">
        <v>0</v>
      </c>
      <c r="AE727" s="369">
        <v>0</v>
      </c>
      <c r="AF727" s="369">
        <v>0</v>
      </c>
      <c r="AG727" s="369">
        <v>0</v>
      </c>
      <c r="AH727" s="369">
        <v>0</v>
      </c>
      <c r="AI727" s="369">
        <v>0</v>
      </c>
      <c r="AJ727" s="369">
        <v>0</v>
      </c>
      <c r="AK727" s="369">
        <v>0</v>
      </c>
      <c r="AL727" s="369">
        <v>0</v>
      </c>
      <c r="AM727" s="369">
        <v>0</v>
      </c>
      <c r="AN727" s="369">
        <v>0</v>
      </c>
      <c r="AO727" s="369">
        <v>0</v>
      </c>
      <c r="AP727" s="369">
        <v>0</v>
      </c>
      <c r="AQ727" s="369">
        <v>0</v>
      </c>
      <c r="AR727" s="369">
        <v>0</v>
      </c>
      <c r="AS727" s="369">
        <v>0</v>
      </c>
      <c r="AT727" s="369">
        <v>0</v>
      </c>
      <c r="AU727" s="369">
        <v>0</v>
      </c>
      <c r="AV727" s="369">
        <v>0</v>
      </c>
      <c r="AW727" s="369">
        <v>0</v>
      </c>
      <c r="AX727" s="369">
        <v>0</v>
      </c>
      <c r="AY727" s="369">
        <v>0</v>
      </c>
      <c r="AZ727" s="369">
        <v>0</v>
      </c>
      <c r="BA727" s="369">
        <v>0</v>
      </c>
      <c r="BB727" s="369">
        <v>0</v>
      </c>
      <c r="BC727" s="369">
        <v>0</v>
      </c>
      <c r="BD727" s="369">
        <v>0</v>
      </c>
      <c r="BE727" s="1335">
        <v>0</v>
      </c>
      <c r="BF727" s="1192"/>
    </row>
    <row r="728" spans="2:58" x14ac:dyDescent="0.25">
      <c r="B728" s="358"/>
      <c r="C728" s="359" t="str">
        <f>'II. Inputs, Baseline Energy Mix'!$E$78</f>
        <v xml:space="preserve">Annual Public Guarantee Fee </v>
      </c>
      <c r="D728" s="359"/>
      <c r="E728" s="359"/>
      <c r="F728" s="359"/>
      <c r="G728" s="369"/>
      <c r="H728" s="369">
        <f>IF(H$299&gt;$G712,0,((H720+H723)/2)*$G711*'II. Inputs, Baseline Energy Mix'!$S$78/10000)</f>
        <v>0</v>
      </c>
      <c r="I728" s="369">
        <f>IF(I$299&gt;$G712,0,((I720+I723)/2)*$G711*'II. Inputs, Baseline Energy Mix'!$S$78/10000)</f>
        <v>0</v>
      </c>
      <c r="J728" s="369">
        <f>IF(J$299&gt;$G712,0,((J720+J723)/2)*$G711*'II. Inputs, Baseline Energy Mix'!$S$78/10000)</f>
        <v>0</v>
      </c>
      <c r="K728" s="369">
        <f>IF(K$299&gt;$G712,0,((K720+K723)/2)*$G711*'II. Inputs, Baseline Energy Mix'!$S$78/10000)</f>
        <v>0</v>
      </c>
      <c r="L728" s="369">
        <f>IF(L$299&gt;$G712,0,((L720+L723)/2)*$G711*'II. Inputs, Baseline Energy Mix'!$S$78/10000)</f>
        <v>0</v>
      </c>
      <c r="M728" s="369">
        <f>IF(M$299&gt;$G712,0,((M720+M723)/2)*$G711*'II. Inputs, Baseline Energy Mix'!$S$78/10000)</f>
        <v>0</v>
      </c>
      <c r="N728" s="369">
        <f>IF(N$299&gt;$G712,0,((N720+N723)/2)*$G711*'II. Inputs, Baseline Energy Mix'!$S$78/10000)</f>
        <v>0</v>
      </c>
      <c r="O728" s="369">
        <f>IF(O$299&gt;$G712,0,((O720+O723)/2)*$G711*'II. Inputs, Baseline Energy Mix'!$S$78/10000)</f>
        <v>0</v>
      </c>
      <c r="P728" s="369">
        <f>IF(P$299&gt;$G712,0,((P720+P723)/2)*$G711*'II. Inputs, Baseline Energy Mix'!$S$78/10000)</f>
        <v>0</v>
      </c>
      <c r="Q728" s="369">
        <f>IF(Q$299&gt;$G712,0,((Q720+Q723)/2)*$G711*'II. Inputs, Baseline Energy Mix'!$S$78/10000)</f>
        <v>0</v>
      </c>
      <c r="R728" s="369">
        <f>IF(R$299&gt;$G712,0,((R720+R723)/2)*$G711*'II. Inputs, Baseline Energy Mix'!$S$78/10000)</f>
        <v>0</v>
      </c>
      <c r="S728" s="369">
        <f>IF(S$299&gt;$G712,0,((S720+S723)/2)*$G711*'II. Inputs, Baseline Energy Mix'!$S$78/10000)</f>
        <v>0</v>
      </c>
      <c r="T728" s="369">
        <f>IF(T$299&gt;$G712,0,((T720+T723)/2)*$G711*'II. Inputs, Baseline Energy Mix'!$S$78/10000)</f>
        <v>0</v>
      </c>
      <c r="U728" s="369">
        <f>IF(U$299&gt;$G712,0,((U720+U723)/2)*$G711*'II. Inputs, Baseline Energy Mix'!$S$78/10000)</f>
        <v>0</v>
      </c>
      <c r="V728" s="369">
        <f>IF(V$299&gt;$G712,0,((V720+V723)/2)*$G711*'II. Inputs, Baseline Energy Mix'!$S$78/10000)</f>
        <v>0</v>
      </c>
      <c r="W728" s="369">
        <f>IF(W$299&gt;$G712,0,((W720+W723)/2)*$G711*'II. Inputs, Baseline Energy Mix'!$S$78/10000)</f>
        <v>0</v>
      </c>
      <c r="X728" s="369">
        <f>IF(X$299&gt;$G712,0,((X720+X723)/2)*$G711*'II. Inputs, Baseline Energy Mix'!$S$78/10000)</f>
        <v>0</v>
      </c>
      <c r="Y728" s="369">
        <f>IF(Y$299&gt;$G712,0,((Y720+Y723)/2)*$G711*'II. Inputs, Baseline Energy Mix'!$S$78/10000)</f>
        <v>0</v>
      </c>
      <c r="Z728" s="369">
        <f>IF(Z$299&gt;$G712,0,((Z720+Z723)/2)*$G711*'II. Inputs, Baseline Energy Mix'!$S$78/10000)</f>
        <v>0</v>
      </c>
      <c r="AA728" s="369">
        <f>IF(AA$299&gt;$G712,0,((AA720+AA723)/2)*$G711*'II. Inputs, Baseline Energy Mix'!$S$78/10000)</f>
        <v>0</v>
      </c>
      <c r="AB728" s="369">
        <f>IF(AB$299&gt;$G712,0,((AB720+AB723)/2)*$G711*'II. Inputs, Baseline Energy Mix'!$S$78/10000)</f>
        <v>0</v>
      </c>
      <c r="AC728" s="369">
        <f>IF(AC$299&gt;$G712,0,((AC720+AC723)/2)*$G711*'II. Inputs, Baseline Energy Mix'!$S$78/10000)</f>
        <v>0</v>
      </c>
      <c r="AD728" s="369">
        <f>IF(AD$299&gt;$G712,0,((AD720+AD723)/2)*$G711*'II. Inputs, Baseline Energy Mix'!$S$78/10000)</f>
        <v>0</v>
      </c>
      <c r="AE728" s="369">
        <f>IF(AE$299&gt;$G712,0,((AE720+AE723)/2)*$G711*'II. Inputs, Baseline Energy Mix'!$S$78/10000)</f>
        <v>0</v>
      </c>
      <c r="AF728" s="369">
        <f>IF(AF$299&gt;$G712,0,((AF720+AF723)/2)*$G711*'II. Inputs, Baseline Energy Mix'!$S$78/10000)</f>
        <v>0</v>
      </c>
      <c r="AG728" s="369">
        <f>IF(AG$299&gt;$G712,0,((AG720+AG723)/2)*$G711*'II. Inputs, Baseline Energy Mix'!$S$78/10000)</f>
        <v>0</v>
      </c>
      <c r="AH728" s="369">
        <f>IF(AH$299&gt;$G712,0,((AH720+AH723)/2)*$G711*'II. Inputs, Baseline Energy Mix'!$S$78/10000)</f>
        <v>0</v>
      </c>
      <c r="AI728" s="369">
        <f>IF(AI$299&gt;$G712,0,((AI720+AI723)/2)*$G711*'II. Inputs, Baseline Energy Mix'!$S$78/10000)</f>
        <v>0</v>
      </c>
      <c r="AJ728" s="369">
        <f>IF(AJ$299&gt;$G712,0,((AJ720+AJ723)/2)*$G711*'II. Inputs, Baseline Energy Mix'!$S$78/10000)</f>
        <v>0</v>
      </c>
      <c r="AK728" s="369">
        <f>IF(AK$299&gt;$G712,0,((AK720+AK723)/2)*$G711*'II. Inputs, Baseline Energy Mix'!$S$78/10000)</f>
        <v>0</v>
      </c>
      <c r="AL728" s="369">
        <f>IF(AL$299&gt;$G712,0,((AL720+AL723)/2)*$G711*'II. Inputs, Baseline Energy Mix'!$S$78/10000)</f>
        <v>0</v>
      </c>
      <c r="AM728" s="369">
        <f>IF(AM$299&gt;$G712,0,((AM720+AM723)/2)*$G711*'II. Inputs, Baseline Energy Mix'!$S$78/10000)</f>
        <v>0</v>
      </c>
      <c r="AN728" s="369">
        <f>IF(AN$299&gt;$G712,0,((AN720+AN723)/2)*$G711*'II. Inputs, Baseline Energy Mix'!$S$78/10000)</f>
        <v>0</v>
      </c>
      <c r="AO728" s="369">
        <f>IF(AO$299&gt;$G712,0,((AO720+AO723)/2)*$G711*'II. Inputs, Baseline Energy Mix'!$S$78/10000)</f>
        <v>0</v>
      </c>
      <c r="AP728" s="369">
        <f>IF(AP$299&gt;$G712,0,((AP720+AP723)/2)*$G711*'II. Inputs, Baseline Energy Mix'!$S$78/10000)</f>
        <v>0</v>
      </c>
      <c r="AQ728" s="369">
        <f>IF(AQ$299&gt;$G712,0,((AQ720+AQ723)/2)*$G711*'II. Inputs, Baseline Energy Mix'!$S$78/10000)</f>
        <v>0</v>
      </c>
      <c r="AR728" s="369">
        <f>IF(AR$299&gt;$G712,0,((AR720+AR723)/2)*$G711*'II. Inputs, Baseline Energy Mix'!$S$78/10000)</f>
        <v>0</v>
      </c>
      <c r="AS728" s="369">
        <f>IF(AS$299&gt;$G712,0,((AS720+AS723)/2)*$G711*'II. Inputs, Baseline Energy Mix'!$S$78/10000)</f>
        <v>0</v>
      </c>
      <c r="AT728" s="369">
        <f>IF(AT$299&gt;$G712,0,((AT720+AT723)/2)*$G711*'II. Inputs, Baseline Energy Mix'!$S$78/10000)</f>
        <v>0</v>
      </c>
      <c r="AU728" s="369">
        <f>IF(AU$299&gt;$G712,0,((AU720+AU723)/2)*$G711*'II. Inputs, Baseline Energy Mix'!$S$78/10000)</f>
        <v>0</v>
      </c>
      <c r="AV728" s="369">
        <f>IF(AV$299&gt;$G712,0,((AV720+AV723)/2)*$G711*'II. Inputs, Baseline Energy Mix'!$S$78/10000)</f>
        <v>0</v>
      </c>
      <c r="AW728" s="369">
        <f>IF(AW$299&gt;$G712,0,((AW720+AW723)/2)*$G711*'II. Inputs, Baseline Energy Mix'!$S$78/10000)</f>
        <v>0</v>
      </c>
      <c r="AX728" s="369">
        <f>IF(AX$299&gt;$G712,0,((AX720+AX723)/2)*$G711*'II. Inputs, Baseline Energy Mix'!$S$78/10000)</f>
        <v>0</v>
      </c>
      <c r="AY728" s="369">
        <f>IF(AY$299&gt;$G712,0,((AY720+AY723)/2)*$G711*'II. Inputs, Baseline Energy Mix'!$S$78/10000)</f>
        <v>0</v>
      </c>
      <c r="AZ728" s="369">
        <f>IF(AZ$299&gt;$G712,0,((AZ720+AZ723)/2)*$G711*'II. Inputs, Baseline Energy Mix'!$S$78/10000)</f>
        <v>0</v>
      </c>
      <c r="BA728" s="369">
        <f>IF(BA$299&gt;$G712,0,((BA720+BA723)/2)*$G711*'II. Inputs, Baseline Energy Mix'!$S$78/10000)</f>
        <v>0</v>
      </c>
      <c r="BB728" s="369">
        <f>IF(BB$299&gt;$G712,0,((BB720+BB723)/2)*$G711*'II. Inputs, Baseline Energy Mix'!$S$78/10000)</f>
        <v>0</v>
      </c>
      <c r="BC728" s="369">
        <f>IF(BC$299&gt;$G712,0,((BC720+BC723)/2)*$G711*'II. Inputs, Baseline Energy Mix'!$S$78/10000)</f>
        <v>0</v>
      </c>
      <c r="BD728" s="369">
        <f>IF(BD$299&gt;$G712,0,((BD720+BD723)/2)*$G711*'II. Inputs, Baseline Energy Mix'!$S$78/10000)</f>
        <v>0</v>
      </c>
      <c r="BE728" s="1335">
        <f>IF(BE$299&gt;$G712,0,((BE720+BE723)/2)*$G711*'II. Inputs, Baseline Energy Mix'!$S$78/10000)</f>
        <v>0</v>
      </c>
      <c r="BF728" s="1192"/>
    </row>
    <row r="729" spans="2:58" x14ac:dyDescent="0.25">
      <c r="B729" s="358"/>
      <c r="C729" s="359"/>
      <c r="D729" s="359"/>
      <c r="E729" s="359"/>
      <c r="F729" s="359"/>
      <c r="G729" s="359"/>
      <c r="H729" s="359"/>
      <c r="I729" s="359"/>
      <c r="J729" s="359"/>
      <c r="K729" s="359"/>
      <c r="L729" s="359"/>
      <c r="M729" s="359"/>
      <c r="N729" s="359"/>
      <c r="O729" s="359"/>
      <c r="P729" s="359"/>
      <c r="Q729" s="359"/>
      <c r="R729" s="359"/>
      <c r="S729" s="359"/>
      <c r="T729" s="359"/>
      <c r="U729" s="359"/>
      <c r="V729" s="359"/>
      <c r="W729" s="359"/>
      <c r="X729" s="359"/>
      <c r="Y729" s="359"/>
      <c r="Z729" s="359"/>
      <c r="AA729" s="359"/>
      <c r="AB729" s="359"/>
      <c r="AC729" s="359"/>
      <c r="AD729" s="359"/>
      <c r="AE729" s="359"/>
      <c r="AF729" s="359"/>
      <c r="AG729" s="359"/>
      <c r="AH729" s="359"/>
      <c r="AI729" s="359"/>
      <c r="AJ729" s="359"/>
      <c r="AK729" s="359"/>
      <c r="AL729" s="359"/>
      <c r="AM729" s="359"/>
      <c r="AN729" s="359"/>
      <c r="AO729" s="359"/>
      <c r="AP729" s="359"/>
      <c r="AQ729" s="359"/>
      <c r="AR729" s="359"/>
      <c r="AS729" s="359"/>
      <c r="AT729" s="359"/>
      <c r="AU729" s="359"/>
      <c r="AV729" s="359"/>
      <c r="AW729" s="359"/>
      <c r="AX729" s="359"/>
      <c r="AY729" s="359"/>
      <c r="AZ729" s="359"/>
      <c r="BA729" s="359"/>
      <c r="BB729" s="359"/>
      <c r="BC729" s="359"/>
      <c r="BD729" s="359"/>
      <c r="BE729" s="360"/>
    </row>
    <row r="730" spans="2:58" x14ac:dyDescent="0.25">
      <c r="B730" s="370" t="s">
        <v>180</v>
      </c>
      <c r="C730" s="359"/>
      <c r="D730" s="359"/>
      <c r="E730" s="359"/>
      <c r="F730" s="359"/>
      <c r="G730" s="359"/>
      <c r="H730" s="359"/>
      <c r="I730" s="359"/>
      <c r="J730" s="359"/>
      <c r="K730" s="359"/>
      <c r="L730" s="359"/>
      <c r="M730" s="359"/>
      <c r="N730" s="359"/>
      <c r="O730" s="359"/>
      <c r="P730" s="359"/>
      <c r="Q730" s="359"/>
      <c r="R730" s="359"/>
      <c r="S730" s="359"/>
      <c r="T730" s="359"/>
      <c r="U730" s="359"/>
      <c r="V730" s="359"/>
      <c r="W730" s="359"/>
      <c r="X730" s="359"/>
      <c r="Y730" s="359"/>
      <c r="Z730" s="359"/>
      <c r="AA730" s="359"/>
      <c r="AB730" s="359"/>
      <c r="AC730" s="359"/>
      <c r="AD730" s="359"/>
      <c r="AE730" s="359"/>
      <c r="AF730" s="359"/>
      <c r="AG730" s="359"/>
      <c r="AH730" s="359"/>
      <c r="AI730" s="359"/>
      <c r="AJ730" s="359"/>
      <c r="AK730" s="359"/>
      <c r="AL730" s="359"/>
      <c r="AM730" s="359"/>
      <c r="AN730" s="359"/>
      <c r="AO730" s="359"/>
      <c r="AP730" s="359"/>
      <c r="AQ730" s="359"/>
      <c r="AR730" s="359"/>
      <c r="AS730" s="359"/>
      <c r="AT730" s="359"/>
      <c r="AU730" s="359"/>
      <c r="AV730" s="359"/>
      <c r="AW730" s="359"/>
      <c r="AX730" s="359"/>
      <c r="AY730" s="359"/>
      <c r="AZ730" s="359"/>
      <c r="BA730" s="359"/>
      <c r="BB730" s="359"/>
      <c r="BC730" s="359"/>
      <c r="BD730" s="359"/>
      <c r="BE730" s="360"/>
    </row>
    <row r="731" spans="2:58" x14ac:dyDescent="0.25">
      <c r="B731" s="358"/>
      <c r="C731" s="414" t="s">
        <v>68</v>
      </c>
      <c r="D731" s="359"/>
      <c r="E731" s="359"/>
      <c r="F731" s="359"/>
      <c r="G731" s="369">
        <f>IF('II. Inputs, Baseline Energy Mix'!$S$15&gt;0,('II. Inputs, Baseline Energy Mix'!$S$16*'II. Inputs, Baseline Energy Mix'!$S$17*'II. Inputs, Baseline Energy Mix'!$S$30*'II. Inputs, Baseline Energy Mix'!$S$34),0)</f>
        <v>0</v>
      </c>
      <c r="H731" s="359"/>
      <c r="I731" s="359"/>
      <c r="J731" s="359"/>
      <c r="K731" s="359"/>
      <c r="L731" s="359"/>
      <c r="M731" s="359"/>
      <c r="N731" s="359"/>
      <c r="O731" s="359"/>
      <c r="P731" s="359"/>
      <c r="Q731" s="359"/>
      <c r="R731" s="359"/>
      <c r="S731" s="359"/>
      <c r="T731" s="359"/>
      <c r="U731" s="359"/>
      <c r="V731" s="359"/>
      <c r="W731" s="359"/>
      <c r="X731" s="359"/>
      <c r="Y731" s="359"/>
      <c r="Z731" s="359"/>
      <c r="AA731" s="359"/>
      <c r="AB731" s="359"/>
      <c r="AC731" s="359"/>
      <c r="AD731" s="359"/>
      <c r="AE731" s="359"/>
      <c r="AF731" s="359"/>
      <c r="AG731" s="359"/>
      <c r="AH731" s="359"/>
      <c r="AI731" s="359"/>
      <c r="AJ731" s="359"/>
      <c r="AK731" s="359"/>
      <c r="AL731" s="359"/>
      <c r="AM731" s="359"/>
      <c r="AN731" s="359"/>
      <c r="AO731" s="359"/>
      <c r="AP731" s="359"/>
      <c r="AQ731" s="359"/>
      <c r="AR731" s="359"/>
      <c r="AS731" s="359"/>
      <c r="AT731" s="359"/>
      <c r="AU731" s="359"/>
      <c r="AV731" s="359"/>
      <c r="AW731" s="359"/>
      <c r="AX731" s="359"/>
      <c r="AY731" s="359"/>
      <c r="AZ731" s="359"/>
      <c r="BA731" s="359"/>
      <c r="BB731" s="359"/>
      <c r="BC731" s="359"/>
      <c r="BD731" s="359"/>
      <c r="BE731" s="360"/>
    </row>
    <row r="732" spans="2:58" x14ac:dyDescent="0.25">
      <c r="B732" s="358"/>
      <c r="C732" s="414" t="s">
        <v>69</v>
      </c>
      <c r="D732" s="359"/>
      <c r="E732" s="359"/>
      <c r="F732" s="359"/>
      <c r="G732" s="361">
        <f>SUM('II. Inputs, Baseline Energy Mix'!$S$46)</f>
        <v>0</v>
      </c>
      <c r="H732" s="359"/>
      <c r="I732" s="359"/>
      <c r="J732" s="359"/>
      <c r="K732" s="359"/>
      <c r="L732" s="359"/>
      <c r="M732" s="359"/>
      <c r="N732" s="359"/>
      <c r="O732" s="359"/>
      <c r="P732" s="359"/>
      <c r="Q732" s="359"/>
      <c r="R732" s="359"/>
      <c r="S732" s="359"/>
      <c r="T732" s="359"/>
      <c r="U732" s="359"/>
      <c r="V732" s="359"/>
      <c r="W732" s="359"/>
      <c r="X732" s="359"/>
      <c r="Y732" s="359"/>
      <c r="Z732" s="359"/>
      <c r="AA732" s="359"/>
      <c r="AB732" s="359"/>
      <c r="AC732" s="359"/>
      <c r="AD732" s="359"/>
      <c r="AE732" s="359"/>
      <c r="AF732" s="359"/>
      <c r="AG732" s="359"/>
      <c r="AH732" s="359"/>
      <c r="AI732" s="359"/>
      <c r="AJ732" s="359"/>
      <c r="AK732" s="359"/>
      <c r="AL732" s="359"/>
      <c r="AM732" s="359"/>
      <c r="AN732" s="359"/>
      <c r="AO732" s="359"/>
      <c r="AP732" s="359"/>
      <c r="AQ732" s="359"/>
      <c r="AR732" s="359"/>
      <c r="AS732" s="359"/>
      <c r="AT732" s="359"/>
      <c r="AU732" s="359"/>
      <c r="AV732" s="359"/>
      <c r="AW732" s="359"/>
      <c r="AX732" s="359"/>
      <c r="AY732" s="359"/>
      <c r="AZ732" s="359"/>
      <c r="BA732" s="359"/>
      <c r="BB732" s="359"/>
      <c r="BC732" s="359"/>
      <c r="BD732" s="359"/>
      <c r="BE732" s="360"/>
    </row>
    <row r="733" spans="2:58" x14ac:dyDescent="0.25">
      <c r="B733" s="358"/>
      <c r="C733" s="414" t="s">
        <v>70</v>
      </c>
      <c r="D733" s="359"/>
      <c r="E733" s="359"/>
      <c r="F733" s="359"/>
      <c r="G733" s="418">
        <f>SUM('II. Inputs, Baseline Energy Mix'!$S$41)</f>
        <v>8.5000000000000006E-2</v>
      </c>
      <c r="H733" s="359"/>
      <c r="I733" s="359"/>
      <c r="J733" s="359"/>
      <c r="K733" s="359"/>
      <c r="L733" s="359"/>
      <c r="M733" s="359"/>
      <c r="N733" s="359"/>
      <c r="O733" s="359"/>
      <c r="P733" s="359"/>
      <c r="Q733" s="359"/>
      <c r="R733" s="359"/>
      <c r="S733" s="359"/>
      <c r="T733" s="359"/>
      <c r="U733" s="359"/>
      <c r="V733" s="359"/>
      <c r="W733" s="359"/>
      <c r="X733" s="359"/>
      <c r="Y733" s="359"/>
      <c r="Z733" s="359"/>
      <c r="AA733" s="359"/>
      <c r="AB733" s="359"/>
      <c r="AC733" s="359"/>
      <c r="AD733" s="359"/>
      <c r="AE733" s="359"/>
      <c r="AF733" s="359"/>
      <c r="AG733" s="359"/>
      <c r="AH733" s="359"/>
      <c r="AI733" s="359"/>
      <c r="AJ733" s="359"/>
      <c r="AK733" s="359"/>
      <c r="AL733" s="359"/>
      <c r="AM733" s="359"/>
      <c r="AN733" s="359"/>
      <c r="AO733" s="359"/>
      <c r="AP733" s="359"/>
      <c r="AQ733" s="359"/>
      <c r="AR733" s="359"/>
      <c r="AS733" s="359"/>
      <c r="AT733" s="359"/>
      <c r="AU733" s="359"/>
      <c r="AV733" s="359"/>
      <c r="AW733" s="359"/>
      <c r="AX733" s="359"/>
      <c r="AY733" s="359"/>
      <c r="AZ733" s="359"/>
      <c r="BA733" s="359"/>
      <c r="BB733" s="359"/>
      <c r="BC733" s="359"/>
      <c r="BD733" s="359"/>
      <c r="BE733" s="360"/>
    </row>
    <row r="734" spans="2:58" x14ac:dyDescent="0.25">
      <c r="B734" s="358"/>
      <c r="C734" s="359"/>
      <c r="D734" s="359"/>
      <c r="E734" s="359"/>
      <c r="F734" s="359"/>
      <c r="G734" s="359"/>
      <c r="H734" s="359"/>
      <c r="I734" s="359"/>
      <c r="J734" s="359"/>
      <c r="K734" s="359"/>
      <c r="L734" s="359"/>
      <c r="M734" s="359"/>
      <c r="N734" s="359"/>
      <c r="O734" s="359"/>
      <c r="P734" s="359"/>
      <c r="Q734" s="359"/>
      <c r="R734" s="359"/>
      <c r="S734" s="359"/>
      <c r="T734" s="359"/>
      <c r="U734" s="359"/>
      <c r="V734" s="359"/>
      <c r="W734" s="359"/>
      <c r="X734" s="359"/>
      <c r="Y734" s="359"/>
      <c r="Z734" s="359"/>
      <c r="AA734" s="359"/>
      <c r="AB734" s="359"/>
      <c r="AC734" s="359"/>
      <c r="AD734" s="359"/>
      <c r="AE734" s="359"/>
      <c r="AF734" s="359"/>
      <c r="AG734" s="359"/>
      <c r="AH734" s="359"/>
      <c r="AI734" s="359"/>
      <c r="AJ734" s="359"/>
      <c r="AK734" s="359"/>
      <c r="AL734" s="359"/>
      <c r="AM734" s="359"/>
      <c r="AN734" s="359"/>
      <c r="AO734" s="359"/>
      <c r="AP734" s="359"/>
      <c r="AQ734" s="359"/>
      <c r="AR734" s="359"/>
      <c r="AS734" s="359"/>
      <c r="AT734" s="359"/>
      <c r="AU734" s="359"/>
      <c r="AV734" s="359"/>
      <c r="AW734" s="359"/>
      <c r="AX734" s="359"/>
      <c r="AY734" s="359"/>
      <c r="AZ734" s="359"/>
      <c r="BA734" s="359"/>
      <c r="BB734" s="359"/>
      <c r="BC734" s="359"/>
      <c r="BD734" s="359"/>
      <c r="BE734" s="360"/>
    </row>
    <row r="735" spans="2:58" x14ac:dyDescent="0.25">
      <c r="B735" s="358"/>
      <c r="C735" s="416" t="s">
        <v>67</v>
      </c>
      <c r="D735" s="359"/>
      <c r="E735" s="359"/>
      <c r="F735" s="359"/>
      <c r="G735" s="359"/>
      <c r="H735" s="359"/>
      <c r="I735" s="359"/>
      <c r="J735" s="359"/>
      <c r="K735" s="359"/>
      <c r="L735" s="359"/>
      <c r="M735" s="359"/>
      <c r="N735" s="359"/>
      <c r="O735" s="359"/>
      <c r="P735" s="359"/>
      <c r="Q735" s="359"/>
      <c r="R735" s="359"/>
      <c r="S735" s="359"/>
      <c r="T735" s="359"/>
      <c r="U735" s="359"/>
      <c r="V735" s="359"/>
      <c r="W735" s="359"/>
      <c r="X735" s="359"/>
      <c r="Y735" s="359"/>
      <c r="Z735" s="359"/>
      <c r="AA735" s="359"/>
      <c r="AB735" s="359"/>
      <c r="AC735" s="359"/>
      <c r="AD735" s="359"/>
      <c r="AE735" s="359"/>
      <c r="AF735" s="359"/>
      <c r="AG735" s="359"/>
      <c r="AH735" s="359"/>
      <c r="AI735" s="359"/>
      <c r="AJ735" s="359"/>
      <c r="AK735" s="359"/>
      <c r="AL735" s="359"/>
      <c r="AM735" s="359"/>
      <c r="AN735" s="359"/>
      <c r="AO735" s="359"/>
      <c r="AP735" s="359"/>
      <c r="AQ735" s="359"/>
      <c r="AR735" s="359"/>
      <c r="AS735" s="359"/>
      <c r="AT735" s="359"/>
      <c r="AU735" s="359"/>
      <c r="AV735" s="359"/>
      <c r="AW735" s="359"/>
      <c r="AX735" s="359"/>
      <c r="AY735" s="359"/>
      <c r="AZ735" s="359"/>
      <c r="BA735" s="359"/>
      <c r="BB735" s="359"/>
      <c r="BC735" s="359"/>
      <c r="BD735" s="359"/>
      <c r="BE735" s="360"/>
    </row>
    <row r="736" spans="2:58" x14ac:dyDescent="0.25">
      <c r="B736" s="358"/>
      <c r="C736" s="359" t="s">
        <v>73</v>
      </c>
      <c r="D736" s="359"/>
      <c r="E736" s="359"/>
      <c r="F736" s="359"/>
      <c r="G736" s="369"/>
      <c r="H736" s="369">
        <f>IF(H$299&gt;$G732,0,IPMT($G733,H$299,$G732,-$G731))</f>
        <v>0</v>
      </c>
      <c r="I736" s="369">
        <f t="shared" ref="I736:BE736" si="240">IF(I$299&gt;$G732,0,IPMT($G733,I$299,$G732,-$G731))</f>
        <v>0</v>
      </c>
      <c r="J736" s="369">
        <f t="shared" si="240"/>
        <v>0</v>
      </c>
      <c r="K736" s="369">
        <f t="shared" si="240"/>
        <v>0</v>
      </c>
      <c r="L736" s="369">
        <f t="shared" si="240"/>
        <v>0</v>
      </c>
      <c r="M736" s="369">
        <f t="shared" si="240"/>
        <v>0</v>
      </c>
      <c r="N736" s="369">
        <f t="shared" si="240"/>
        <v>0</v>
      </c>
      <c r="O736" s="369">
        <f t="shared" si="240"/>
        <v>0</v>
      </c>
      <c r="P736" s="369">
        <f t="shared" si="240"/>
        <v>0</v>
      </c>
      <c r="Q736" s="369">
        <f t="shared" si="240"/>
        <v>0</v>
      </c>
      <c r="R736" s="369">
        <f t="shared" si="240"/>
        <v>0</v>
      </c>
      <c r="S736" s="369">
        <f t="shared" si="240"/>
        <v>0</v>
      </c>
      <c r="T736" s="369">
        <f t="shared" si="240"/>
        <v>0</v>
      </c>
      <c r="U736" s="369">
        <f t="shared" si="240"/>
        <v>0</v>
      </c>
      <c r="V736" s="369">
        <f t="shared" si="240"/>
        <v>0</v>
      </c>
      <c r="W736" s="369">
        <f t="shared" si="240"/>
        <v>0</v>
      </c>
      <c r="X736" s="369">
        <f t="shared" si="240"/>
        <v>0</v>
      </c>
      <c r="Y736" s="369">
        <f t="shared" si="240"/>
        <v>0</v>
      </c>
      <c r="Z736" s="369">
        <f t="shared" si="240"/>
        <v>0</v>
      </c>
      <c r="AA736" s="369">
        <f t="shared" si="240"/>
        <v>0</v>
      </c>
      <c r="AB736" s="369">
        <f t="shared" si="240"/>
        <v>0</v>
      </c>
      <c r="AC736" s="369">
        <f t="shared" si="240"/>
        <v>0</v>
      </c>
      <c r="AD736" s="369">
        <f t="shared" si="240"/>
        <v>0</v>
      </c>
      <c r="AE736" s="369">
        <f t="shared" si="240"/>
        <v>0</v>
      </c>
      <c r="AF736" s="369">
        <f t="shared" si="240"/>
        <v>0</v>
      </c>
      <c r="AG736" s="369">
        <f t="shared" si="240"/>
        <v>0</v>
      </c>
      <c r="AH736" s="369">
        <f t="shared" si="240"/>
        <v>0</v>
      </c>
      <c r="AI736" s="369">
        <f t="shared" si="240"/>
        <v>0</v>
      </c>
      <c r="AJ736" s="369">
        <f t="shared" si="240"/>
        <v>0</v>
      </c>
      <c r="AK736" s="369">
        <f t="shared" si="240"/>
        <v>0</v>
      </c>
      <c r="AL736" s="369">
        <f t="shared" si="240"/>
        <v>0</v>
      </c>
      <c r="AM736" s="369">
        <f t="shared" si="240"/>
        <v>0</v>
      </c>
      <c r="AN736" s="369">
        <f t="shared" si="240"/>
        <v>0</v>
      </c>
      <c r="AO736" s="369">
        <f t="shared" si="240"/>
        <v>0</v>
      </c>
      <c r="AP736" s="369">
        <f t="shared" si="240"/>
        <v>0</v>
      </c>
      <c r="AQ736" s="369">
        <f t="shared" si="240"/>
        <v>0</v>
      </c>
      <c r="AR736" s="369">
        <f t="shared" si="240"/>
        <v>0</v>
      </c>
      <c r="AS736" s="369">
        <f t="shared" si="240"/>
        <v>0</v>
      </c>
      <c r="AT736" s="369">
        <f t="shared" si="240"/>
        <v>0</v>
      </c>
      <c r="AU736" s="369">
        <f t="shared" si="240"/>
        <v>0</v>
      </c>
      <c r="AV736" s="369">
        <f t="shared" si="240"/>
        <v>0</v>
      </c>
      <c r="AW736" s="369">
        <f t="shared" si="240"/>
        <v>0</v>
      </c>
      <c r="AX736" s="369">
        <f t="shared" si="240"/>
        <v>0</v>
      </c>
      <c r="AY736" s="369">
        <f t="shared" si="240"/>
        <v>0</v>
      </c>
      <c r="AZ736" s="369">
        <f t="shared" si="240"/>
        <v>0</v>
      </c>
      <c r="BA736" s="369">
        <f t="shared" si="240"/>
        <v>0</v>
      </c>
      <c r="BB736" s="369">
        <f t="shared" si="240"/>
        <v>0</v>
      </c>
      <c r="BC736" s="369">
        <f t="shared" si="240"/>
        <v>0</v>
      </c>
      <c r="BD736" s="369">
        <f t="shared" si="240"/>
        <v>0</v>
      </c>
      <c r="BE736" s="1335">
        <f t="shared" si="240"/>
        <v>0</v>
      </c>
    </row>
    <row r="737" spans="2:57" x14ac:dyDescent="0.25">
      <c r="B737" s="358"/>
      <c r="C737" s="366" t="s">
        <v>72</v>
      </c>
      <c r="D737" s="366"/>
      <c r="E737" s="366"/>
      <c r="F737" s="366"/>
      <c r="G737" s="1336"/>
      <c r="H737" s="1336">
        <f>IF(H$299&gt;$G732,0,PPMT($G733,H$299,$G732,-$G731))</f>
        <v>0</v>
      </c>
      <c r="I737" s="1336">
        <f t="shared" ref="I737:BE737" si="241">IF(I$299&gt;$G732,0,PPMT($G733,I$299,$G732,-$G731))</f>
        <v>0</v>
      </c>
      <c r="J737" s="1336">
        <f t="shared" si="241"/>
        <v>0</v>
      </c>
      <c r="K737" s="1336">
        <f t="shared" si="241"/>
        <v>0</v>
      </c>
      <c r="L737" s="1336">
        <f t="shared" si="241"/>
        <v>0</v>
      </c>
      <c r="M737" s="1336">
        <f t="shared" si="241"/>
        <v>0</v>
      </c>
      <c r="N737" s="1336">
        <f t="shared" si="241"/>
        <v>0</v>
      </c>
      <c r="O737" s="1336">
        <f t="shared" si="241"/>
        <v>0</v>
      </c>
      <c r="P737" s="1336">
        <f t="shared" si="241"/>
        <v>0</v>
      </c>
      <c r="Q737" s="1336">
        <f t="shared" si="241"/>
        <v>0</v>
      </c>
      <c r="R737" s="1336">
        <f t="shared" si="241"/>
        <v>0</v>
      </c>
      <c r="S737" s="1336">
        <f t="shared" si="241"/>
        <v>0</v>
      </c>
      <c r="T737" s="1336">
        <f t="shared" si="241"/>
        <v>0</v>
      </c>
      <c r="U737" s="1336">
        <f t="shared" si="241"/>
        <v>0</v>
      </c>
      <c r="V737" s="1336">
        <f t="shared" si="241"/>
        <v>0</v>
      </c>
      <c r="W737" s="1336">
        <f t="shared" si="241"/>
        <v>0</v>
      </c>
      <c r="X737" s="1336">
        <f t="shared" si="241"/>
        <v>0</v>
      </c>
      <c r="Y737" s="1336">
        <f t="shared" si="241"/>
        <v>0</v>
      </c>
      <c r="Z737" s="1336">
        <f t="shared" si="241"/>
        <v>0</v>
      </c>
      <c r="AA737" s="1336">
        <f t="shared" si="241"/>
        <v>0</v>
      </c>
      <c r="AB737" s="1336">
        <f t="shared" si="241"/>
        <v>0</v>
      </c>
      <c r="AC737" s="1336">
        <f t="shared" si="241"/>
        <v>0</v>
      </c>
      <c r="AD737" s="1336">
        <f t="shared" si="241"/>
        <v>0</v>
      </c>
      <c r="AE737" s="1336">
        <f t="shared" si="241"/>
        <v>0</v>
      </c>
      <c r="AF737" s="1336">
        <f t="shared" si="241"/>
        <v>0</v>
      </c>
      <c r="AG737" s="1336">
        <f t="shared" si="241"/>
        <v>0</v>
      </c>
      <c r="AH737" s="1336">
        <f t="shared" si="241"/>
        <v>0</v>
      </c>
      <c r="AI737" s="1336">
        <f t="shared" si="241"/>
        <v>0</v>
      </c>
      <c r="AJ737" s="1336">
        <f t="shared" si="241"/>
        <v>0</v>
      </c>
      <c r="AK737" s="1336">
        <f t="shared" si="241"/>
        <v>0</v>
      </c>
      <c r="AL737" s="1336">
        <f t="shared" si="241"/>
        <v>0</v>
      </c>
      <c r="AM737" s="1336">
        <f t="shared" si="241"/>
        <v>0</v>
      </c>
      <c r="AN737" s="1336">
        <f t="shared" si="241"/>
        <v>0</v>
      </c>
      <c r="AO737" s="1336">
        <f t="shared" si="241"/>
        <v>0</v>
      </c>
      <c r="AP737" s="1336">
        <f t="shared" si="241"/>
        <v>0</v>
      </c>
      <c r="AQ737" s="1336">
        <f t="shared" si="241"/>
        <v>0</v>
      </c>
      <c r="AR737" s="1336">
        <f t="shared" si="241"/>
        <v>0</v>
      </c>
      <c r="AS737" s="1336">
        <f t="shared" si="241"/>
        <v>0</v>
      </c>
      <c r="AT737" s="1336">
        <f t="shared" si="241"/>
        <v>0</v>
      </c>
      <c r="AU737" s="1336">
        <f t="shared" si="241"/>
        <v>0</v>
      </c>
      <c r="AV737" s="1336">
        <f t="shared" si="241"/>
        <v>0</v>
      </c>
      <c r="AW737" s="1336">
        <f t="shared" si="241"/>
        <v>0</v>
      </c>
      <c r="AX737" s="1336">
        <f t="shared" si="241"/>
        <v>0</v>
      </c>
      <c r="AY737" s="1336">
        <f t="shared" si="241"/>
        <v>0</v>
      </c>
      <c r="AZ737" s="1336">
        <f t="shared" si="241"/>
        <v>0</v>
      </c>
      <c r="BA737" s="1336">
        <f t="shared" si="241"/>
        <v>0</v>
      </c>
      <c r="BB737" s="1336">
        <f t="shared" si="241"/>
        <v>0</v>
      </c>
      <c r="BC737" s="1336">
        <f t="shared" si="241"/>
        <v>0</v>
      </c>
      <c r="BD737" s="1336">
        <f t="shared" si="241"/>
        <v>0</v>
      </c>
      <c r="BE737" s="1337">
        <f t="shared" si="241"/>
        <v>0</v>
      </c>
    </row>
    <row r="738" spans="2:57" x14ac:dyDescent="0.25">
      <c r="B738" s="358"/>
      <c r="C738" s="359" t="s">
        <v>74</v>
      </c>
      <c r="D738" s="359"/>
      <c r="E738" s="359"/>
      <c r="F738" s="359"/>
      <c r="G738" s="369"/>
      <c r="H738" s="369">
        <f>SUM(H736:H737)</f>
        <v>0</v>
      </c>
      <c r="I738" s="369">
        <f t="shared" ref="I738:BE738" si="242">SUM(I736:I737)</f>
        <v>0</v>
      </c>
      <c r="J738" s="369">
        <f t="shared" si="242"/>
        <v>0</v>
      </c>
      <c r="K738" s="369">
        <f t="shared" si="242"/>
        <v>0</v>
      </c>
      <c r="L738" s="369">
        <f t="shared" si="242"/>
        <v>0</v>
      </c>
      <c r="M738" s="369">
        <f t="shared" si="242"/>
        <v>0</v>
      </c>
      <c r="N738" s="369">
        <f t="shared" si="242"/>
        <v>0</v>
      </c>
      <c r="O738" s="369">
        <f t="shared" si="242"/>
        <v>0</v>
      </c>
      <c r="P738" s="369">
        <f t="shared" si="242"/>
        <v>0</v>
      </c>
      <c r="Q738" s="369">
        <f t="shared" si="242"/>
        <v>0</v>
      </c>
      <c r="R738" s="369">
        <f t="shared" si="242"/>
        <v>0</v>
      </c>
      <c r="S738" s="369">
        <f t="shared" si="242"/>
        <v>0</v>
      </c>
      <c r="T738" s="369">
        <f t="shared" si="242"/>
        <v>0</v>
      </c>
      <c r="U738" s="369">
        <f t="shared" si="242"/>
        <v>0</v>
      </c>
      <c r="V738" s="369">
        <f t="shared" si="242"/>
        <v>0</v>
      </c>
      <c r="W738" s="369">
        <f t="shared" si="242"/>
        <v>0</v>
      </c>
      <c r="X738" s="369">
        <f t="shared" si="242"/>
        <v>0</v>
      </c>
      <c r="Y738" s="369">
        <f t="shared" si="242"/>
        <v>0</v>
      </c>
      <c r="Z738" s="369">
        <f t="shared" si="242"/>
        <v>0</v>
      </c>
      <c r="AA738" s="369">
        <f t="shared" si="242"/>
        <v>0</v>
      </c>
      <c r="AB738" s="369">
        <f t="shared" si="242"/>
        <v>0</v>
      </c>
      <c r="AC738" s="369">
        <f t="shared" si="242"/>
        <v>0</v>
      </c>
      <c r="AD738" s="369">
        <f t="shared" si="242"/>
        <v>0</v>
      </c>
      <c r="AE738" s="369">
        <f t="shared" si="242"/>
        <v>0</v>
      </c>
      <c r="AF738" s="369">
        <f t="shared" si="242"/>
        <v>0</v>
      </c>
      <c r="AG738" s="369">
        <f t="shared" si="242"/>
        <v>0</v>
      </c>
      <c r="AH738" s="369">
        <f t="shared" si="242"/>
        <v>0</v>
      </c>
      <c r="AI738" s="369">
        <f t="shared" si="242"/>
        <v>0</v>
      </c>
      <c r="AJ738" s="369">
        <f t="shared" si="242"/>
        <v>0</v>
      </c>
      <c r="AK738" s="369">
        <f t="shared" si="242"/>
        <v>0</v>
      </c>
      <c r="AL738" s="369">
        <f t="shared" si="242"/>
        <v>0</v>
      </c>
      <c r="AM738" s="369">
        <f t="shared" si="242"/>
        <v>0</v>
      </c>
      <c r="AN738" s="369">
        <f t="shared" si="242"/>
        <v>0</v>
      </c>
      <c r="AO738" s="369">
        <f t="shared" si="242"/>
        <v>0</v>
      </c>
      <c r="AP738" s="369">
        <f t="shared" si="242"/>
        <v>0</v>
      </c>
      <c r="AQ738" s="369">
        <f t="shared" si="242"/>
        <v>0</v>
      </c>
      <c r="AR738" s="369">
        <f t="shared" si="242"/>
        <v>0</v>
      </c>
      <c r="AS738" s="369">
        <f t="shared" si="242"/>
        <v>0</v>
      </c>
      <c r="AT738" s="369">
        <f t="shared" si="242"/>
        <v>0</v>
      </c>
      <c r="AU738" s="369">
        <f t="shared" si="242"/>
        <v>0</v>
      </c>
      <c r="AV738" s="369">
        <f t="shared" si="242"/>
        <v>0</v>
      </c>
      <c r="AW738" s="369">
        <f t="shared" si="242"/>
        <v>0</v>
      </c>
      <c r="AX738" s="369">
        <f t="shared" si="242"/>
        <v>0</v>
      </c>
      <c r="AY738" s="369">
        <f t="shared" si="242"/>
        <v>0</v>
      </c>
      <c r="AZ738" s="369">
        <f t="shared" si="242"/>
        <v>0</v>
      </c>
      <c r="BA738" s="369">
        <f t="shared" si="242"/>
        <v>0</v>
      </c>
      <c r="BB738" s="369">
        <f t="shared" si="242"/>
        <v>0</v>
      </c>
      <c r="BC738" s="369">
        <f t="shared" si="242"/>
        <v>0</v>
      </c>
      <c r="BD738" s="369">
        <f t="shared" si="242"/>
        <v>0</v>
      </c>
      <c r="BE738" s="1335">
        <f t="shared" si="242"/>
        <v>0</v>
      </c>
    </row>
    <row r="739" spans="2:57" x14ac:dyDescent="0.25">
      <c r="B739" s="358"/>
      <c r="C739" s="359"/>
      <c r="D739" s="359"/>
      <c r="E739" s="359"/>
      <c r="F739" s="359"/>
      <c r="G739" s="369"/>
      <c r="H739" s="369"/>
      <c r="I739" s="369"/>
      <c r="J739" s="369"/>
      <c r="K739" s="369"/>
      <c r="L739" s="369"/>
      <c r="M739" s="369"/>
      <c r="N739" s="369"/>
      <c r="O739" s="369"/>
      <c r="P739" s="369"/>
      <c r="Q739" s="369"/>
      <c r="R739" s="369"/>
      <c r="S739" s="369"/>
      <c r="T739" s="369"/>
      <c r="U739" s="369"/>
      <c r="V739" s="369"/>
      <c r="W739" s="369"/>
      <c r="X739" s="369"/>
      <c r="Y739" s="369"/>
      <c r="Z739" s="369"/>
      <c r="AA739" s="369"/>
      <c r="AB739" s="369"/>
      <c r="AC739" s="369"/>
      <c r="AD739" s="369"/>
      <c r="AE739" s="369"/>
      <c r="AF739" s="369"/>
      <c r="AG739" s="369"/>
      <c r="AH739" s="369"/>
      <c r="AI739" s="369"/>
      <c r="AJ739" s="369"/>
      <c r="AK739" s="369"/>
      <c r="AL739" s="369"/>
      <c r="AM739" s="369"/>
      <c r="AN739" s="369"/>
      <c r="AO739" s="369"/>
      <c r="AP739" s="369"/>
      <c r="AQ739" s="369"/>
      <c r="AR739" s="369"/>
      <c r="AS739" s="369"/>
      <c r="AT739" s="369"/>
      <c r="AU739" s="369"/>
      <c r="AV739" s="369"/>
      <c r="AW739" s="369"/>
      <c r="AX739" s="369"/>
      <c r="AY739" s="369"/>
      <c r="AZ739" s="369"/>
      <c r="BA739" s="369"/>
      <c r="BB739" s="369"/>
      <c r="BC739" s="369"/>
      <c r="BD739" s="369"/>
      <c r="BE739" s="1335"/>
    </row>
    <row r="740" spans="2:57" x14ac:dyDescent="0.25">
      <c r="B740" s="358"/>
      <c r="C740" s="417" t="s">
        <v>65</v>
      </c>
      <c r="D740" s="359"/>
      <c r="E740" s="359"/>
      <c r="F740" s="35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369"/>
      <c r="AY740" s="369"/>
      <c r="AZ740" s="369"/>
      <c r="BA740" s="369"/>
      <c r="BB740" s="369"/>
      <c r="BC740" s="369"/>
      <c r="BD740" s="369"/>
      <c r="BE740" s="1335"/>
    </row>
    <row r="741" spans="2:57" x14ac:dyDescent="0.25">
      <c r="B741" s="358"/>
      <c r="C741" s="359" t="s">
        <v>75</v>
      </c>
      <c r="D741" s="359"/>
      <c r="E741" s="359"/>
      <c r="F741" s="359"/>
      <c r="G741" s="369">
        <v>0</v>
      </c>
      <c r="H741" s="369">
        <f t="shared" ref="H741:AM741" si="243">G744</f>
        <v>0</v>
      </c>
      <c r="I741" s="369">
        <f t="shared" si="243"/>
        <v>0</v>
      </c>
      <c r="J741" s="369">
        <f t="shared" si="243"/>
        <v>0</v>
      </c>
      <c r="K741" s="369">
        <f t="shared" si="243"/>
        <v>0</v>
      </c>
      <c r="L741" s="369">
        <f t="shared" si="243"/>
        <v>0</v>
      </c>
      <c r="M741" s="369">
        <f t="shared" si="243"/>
        <v>0</v>
      </c>
      <c r="N741" s="369">
        <f t="shared" si="243"/>
        <v>0</v>
      </c>
      <c r="O741" s="369">
        <f t="shared" si="243"/>
        <v>0</v>
      </c>
      <c r="P741" s="369">
        <f t="shared" si="243"/>
        <v>0</v>
      </c>
      <c r="Q741" s="369">
        <f t="shared" si="243"/>
        <v>0</v>
      </c>
      <c r="R741" s="369">
        <f t="shared" si="243"/>
        <v>0</v>
      </c>
      <c r="S741" s="369">
        <f t="shared" si="243"/>
        <v>0</v>
      </c>
      <c r="T741" s="369">
        <f t="shared" si="243"/>
        <v>0</v>
      </c>
      <c r="U741" s="369">
        <f t="shared" si="243"/>
        <v>0</v>
      </c>
      <c r="V741" s="369">
        <f t="shared" si="243"/>
        <v>0</v>
      </c>
      <c r="W741" s="369">
        <f t="shared" si="243"/>
        <v>0</v>
      </c>
      <c r="X741" s="369">
        <f t="shared" si="243"/>
        <v>0</v>
      </c>
      <c r="Y741" s="369">
        <f t="shared" si="243"/>
        <v>0</v>
      </c>
      <c r="Z741" s="369">
        <f t="shared" si="243"/>
        <v>0</v>
      </c>
      <c r="AA741" s="369">
        <f t="shared" si="243"/>
        <v>0</v>
      </c>
      <c r="AB741" s="369">
        <f t="shared" si="243"/>
        <v>0</v>
      </c>
      <c r="AC741" s="369">
        <f t="shared" si="243"/>
        <v>0</v>
      </c>
      <c r="AD741" s="369">
        <f t="shared" si="243"/>
        <v>0</v>
      </c>
      <c r="AE741" s="369">
        <f t="shared" si="243"/>
        <v>0</v>
      </c>
      <c r="AF741" s="369">
        <f t="shared" si="243"/>
        <v>0</v>
      </c>
      <c r="AG741" s="369">
        <f t="shared" si="243"/>
        <v>0</v>
      </c>
      <c r="AH741" s="369">
        <f t="shared" si="243"/>
        <v>0</v>
      </c>
      <c r="AI741" s="369">
        <f t="shared" si="243"/>
        <v>0</v>
      </c>
      <c r="AJ741" s="369">
        <f t="shared" si="243"/>
        <v>0</v>
      </c>
      <c r="AK741" s="369">
        <f t="shared" si="243"/>
        <v>0</v>
      </c>
      <c r="AL741" s="369">
        <f t="shared" si="243"/>
        <v>0</v>
      </c>
      <c r="AM741" s="369">
        <f t="shared" si="243"/>
        <v>0</v>
      </c>
      <c r="AN741" s="369">
        <f t="shared" ref="AN741:BE741" si="244">AM744</f>
        <v>0</v>
      </c>
      <c r="AO741" s="369">
        <f t="shared" si="244"/>
        <v>0</v>
      </c>
      <c r="AP741" s="369">
        <f t="shared" si="244"/>
        <v>0</v>
      </c>
      <c r="AQ741" s="369">
        <f t="shared" si="244"/>
        <v>0</v>
      </c>
      <c r="AR741" s="369">
        <f t="shared" si="244"/>
        <v>0</v>
      </c>
      <c r="AS741" s="369">
        <f t="shared" si="244"/>
        <v>0</v>
      </c>
      <c r="AT741" s="369">
        <f t="shared" si="244"/>
        <v>0</v>
      </c>
      <c r="AU741" s="369">
        <f t="shared" si="244"/>
        <v>0</v>
      </c>
      <c r="AV741" s="369">
        <f t="shared" si="244"/>
        <v>0</v>
      </c>
      <c r="AW741" s="369">
        <f t="shared" si="244"/>
        <v>0</v>
      </c>
      <c r="AX741" s="369">
        <f t="shared" si="244"/>
        <v>0</v>
      </c>
      <c r="AY741" s="369">
        <f t="shared" si="244"/>
        <v>0</v>
      </c>
      <c r="AZ741" s="369">
        <f t="shared" si="244"/>
        <v>0</v>
      </c>
      <c r="BA741" s="369">
        <f t="shared" si="244"/>
        <v>0</v>
      </c>
      <c r="BB741" s="369">
        <f t="shared" si="244"/>
        <v>0</v>
      </c>
      <c r="BC741" s="369">
        <f t="shared" si="244"/>
        <v>0</v>
      </c>
      <c r="BD741" s="369">
        <f t="shared" si="244"/>
        <v>0</v>
      </c>
      <c r="BE741" s="1335">
        <f t="shared" si="244"/>
        <v>0</v>
      </c>
    </row>
    <row r="742" spans="2:57" x14ac:dyDescent="0.25">
      <c r="B742" s="358"/>
      <c r="C742" s="359" t="s">
        <v>76</v>
      </c>
      <c r="D742" s="359"/>
      <c r="E742" s="359"/>
      <c r="F742" s="359"/>
      <c r="G742" s="369">
        <f>G731</f>
        <v>0</v>
      </c>
      <c r="H742" s="369">
        <v>0</v>
      </c>
      <c r="I742" s="369">
        <v>0</v>
      </c>
      <c r="J742" s="369">
        <v>0</v>
      </c>
      <c r="K742" s="369">
        <v>0</v>
      </c>
      <c r="L742" s="369">
        <v>0</v>
      </c>
      <c r="M742" s="369">
        <v>0</v>
      </c>
      <c r="N742" s="369">
        <v>0</v>
      </c>
      <c r="O742" s="369">
        <v>0</v>
      </c>
      <c r="P742" s="369">
        <v>0</v>
      </c>
      <c r="Q742" s="369">
        <v>0</v>
      </c>
      <c r="R742" s="369">
        <v>0</v>
      </c>
      <c r="S742" s="369">
        <v>0</v>
      </c>
      <c r="T742" s="369">
        <v>0</v>
      </c>
      <c r="U742" s="369">
        <v>0</v>
      </c>
      <c r="V742" s="369">
        <v>0</v>
      </c>
      <c r="W742" s="369">
        <v>0</v>
      </c>
      <c r="X742" s="369">
        <v>0</v>
      </c>
      <c r="Y742" s="369">
        <v>0</v>
      </c>
      <c r="Z742" s="369">
        <v>0</v>
      </c>
      <c r="AA742" s="369">
        <v>0</v>
      </c>
      <c r="AB742" s="369">
        <v>0</v>
      </c>
      <c r="AC742" s="369">
        <v>0</v>
      </c>
      <c r="AD742" s="369">
        <v>0</v>
      </c>
      <c r="AE742" s="369">
        <v>0</v>
      </c>
      <c r="AF742" s="369">
        <v>0</v>
      </c>
      <c r="AG742" s="369">
        <v>0</v>
      </c>
      <c r="AH742" s="369">
        <v>0</v>
      </c>
      <c r="AI742" s="369">
        <v>0</v>
      </c>
      <c r="AJ742" s="369">
        <v>0</v>
      </c>
      <c r="AK742" s="369">
        <v>0</v>
      </c>
      <c r="AL742" s="369">
        <v>0</v>
      </c>
      <c r="AM742" s="369">
        <v>0</v>
      </c>
      <c r="AN742" s="369">
        <v>0</v>
      </c>
      <c r="AO742" s="369">
        <v>0</v>
      </c>
      <c r="AP742" s="369">
        <v>0</v>
      </c>
      <c r="AQ742" s="369">
        <v>0</v>
      </c>
      <c r="AR742" s="369">
        <v>0</v>
      </c>
      <c r="AS742" s="369">
        <v>0</v>
      </c>
      <c r="AT742" s="369">
        <v>0</v>
      </c>
      <c r="AU742" s="369">
        <v>0</v>
      </c>
      <c r="AV742" s="369">
        <v>0</v>
      </c>
      <c r="AW742" s="369">
        <v>0</v>
      </c>
      <c r="AX742" s="369">
        <v>0</v>
      </c>
      <c r="AY742" s="369">
        <v>0</v>
      </c>
      <c r="AZ742" s="369">
        <v>0</v>
      </c>
      <c r="BA742" s="369">
        <v>0</v>
      </c>
      <c r="BB742" s="369">
        <v>0</v>
      </c>
      <c r="BC742" s="369">
        <v>0</v>
      </c>
      <c r="BD742" s="369">
        <v>0</v>
      </c>
      <c r="BE742" s="1335">
        <v>0</v>
      </c>
    </row>
    <row r="743" spans="2:57" x14ac:dyDescent="0.25">
      <c r="B743" s="358"/>
      <c r="C743" s="366" t="s">
        <v>77</v>
      </c>
      <c r="D743" s="366"/>
      <c r="E743" s="366"/>
      <c r="F743" s="366"/>
      <c r="G743" s="1336">
        <v>0</v>
      </c>
      <c r="H743" s="1336">
        <f>-H737</f>
        <v>0</v>
      </c>
      <c r="I743" s="1336">
        <f t="shared" ref="I743:BE743" si="245">-I737</f>
        <v>0</v>
      </c>
      <c r="J743" s="1336">
        <f t="shared" si="245"/>
        <v>0</v>
      </c>
      <c r="K743" s="1336">
        <f t="shared" si="245"/>
        <v>0</v>
      </c>
      <c r="L743" s="1336">
        <f t="shared" si="245"/>
        <v>0</v>
      </c>
      <c r="M743" s="1336">
        <f t="shared" si="245"/>
        <v>0</v>
      </c>
      <c r="N743" s="1336">
        <f t="shared" si="245"/>
        <v>0</v>
      </c>
      <c r="O743" s="1336">
        <f t="shared" si="245"/>
        <v>0</v>
      </c>
      <c r="P743" s="1336">
        <f t="shared" si="245"/>
        <v>0</v>
      </c>
      <c r="Q743" s="1336">
        <f t="shared" si="245"/>
        <v>0</v>
      </c>
      <c r="R743" s="1336">
        <f t="shared" si="245"/>
        <v>0</v>
      </c>
      <c r="S743" s="1336">
        <f t="shared" si="245"/>
        <v>0</v>
      </c>
      <c r="T743" s="1336">
        <f t="shared" si="245"/>
        <v>0</v>
      </c>
      <c r="U743" s="1336">
        <f t="shared" si="245"/>
        <v>0</v>
      </c>
      <c r="V743" s="1336">
        <f t="shared" si="245"/>
        <v>0</v>
      </c>
      <c r="W743" s="1336">
        <f t="shared" si="245"/>
        <v>0</v>
      </c>
      <c r="X743" s="1336">
        <f t="shared" si="245"/>
        <v>0</v>
      </c>
      <c r="Y743" s="1336">
        <f t="shared" si="245"/>
        <v>0</v>
      </c>
      <c r="Z743" s="1336">
        <f t="shared" si="245"/>
        <v>0</v>
      </c>
      <c r="AA743" s="1336">
        <f t="shared" si="245"/>
        <v>0</v>
      </c>
      <c r="AB743" s="1336">
        <f t="shared" si="245"/>
        <v>0</v>
      </c>
      <c r="AC743" s="1336">
        <f t="shared" si="245"/>
        <v>0</v>
      </c>
      <c r="AD743" s="1336">
        <f t="shared" si="245"/>
        <v>0</v>
      </c>
      <c r="AE743" s="1336">
        <f t="shared" si="245"/>
        <v>0</v>
      </c>
      <c r="AF743" s="1336">
        <f t="shared" si="245"/>
        <v>0</v>
      </c>
      <c r="AG743" s="1336">
        <f t="shared" si="245"/>
        <v>0</v>
      </c>
      <c r="AH743" s="1336">
        <f t="shared" si="245"/>
        <v>0</v>
      </c>
      <c r="AI743" s="1336">
        <f t="shared" si="245"/>
        <v>0</v>
      </c>
      <c r="AJ743" s="1336">
        <f t="shared" si="245"/>
        <v>0</v>
      </c>
      <c r="AK743" s="1336">
        <f t="shared" si="245"/>
        <v>0</v>
      </c>
      <c r="AL743" s="1336">
        <f t="shared" si="245"/>
        <v>0</v>
      </c>
      <c r="AM743" s="1336">
        <f t="shared" si="245"/>
        <v>0</v>
      </c>
      <c r="AN743" s="1336">
        <f t="shared" si="245"/>
        <v>0</v>
      </c>
      <c r="AO743" s="1336">
        <f t="shared" si="245"/>
        <v>0</v>
      </c>
      <c r="AP743" s="1336">
        <f t="shared" si="245"/>
        <v>0</v>
      </c>
      <c r="AQ743" s="1336">
        <f t="shared" si="245"/>
        <v>0</v>
      </c>
      <c r="AR743" s="1336">
        <f t="shared" si="245"/>
        <v>0</v>
      </c>
      <c r="AS743" s="1336">
        <f t="shared" si="245"/>
        <v>0</v>
      </c>
      <c r="AT743" s="1336">
        <f t="shared" si="245"/>
        <v>0</v>
      </c>
      <c r="AU743" s="1336">
        <f t="shared" si="245"/>
        <v>0</v>
      </c>
      <c r="AV743" s="1336">
        <f t="shared" si="245"/>
        <v>0</v>
      </c>
      <c r="AW743" s="1336">
        <f t="shared" si="245"/>
        <v>0</v>
      </c>
      <c r="AX743" s="1336">
        <f t="shared" si="245"/>
        <v>0</v>
      </c>
      <c r="AY743" s="1336">
        <f t="shared" si="245"/>
        <v>0</v>
      </c>
      <c r="AZ743" s="1336">
        <f t="shared" si="245"/>
        <v>0</v>
      </c>
      <c r="BA743" s="1336">
        <f t="shared" si="245"/>
        <v>0</v>
      </c>
      <c r="BB743" s="1336">
        <f t="shared" si="245"/>
        <v>0</v>
      </c>
      <c r="BC743" s="1336">
        <f t="shared" si="245"/>
        <v>0</v>
      </c>
      <c r="BD743" s="1336">
        <f t="shared" si="245"/>
        <v>0</v>
      </c>
      <c r="BE743" s="1337">
        <f t="shared" si="245"/>
        <v>0</v>
      </c>
    </row>
    <row r="744" spans="2:57" x14ac:dyDescent="0.25">
      <c r="B744" s="358"/>
      <c r="C744" s="359" t="s">
        <v>66</v>
      </c>
      <c r="D744" s="359"/>
      <c r="E744" s="359"/>
      <c r="F744" s="359"/>
      <c r="G744" s="369">
        <f>SUM(G741:G743)</f>
        <v>0</v>
      </c>
      <c r="H744" s="369">
        <f>SUM(H741:H743)</f>
        <v>0</v>
      </c>
      <c r="I744" s="369">
        <f t="shared" ref="I744:BE744" si="246">SUM(I741:I743)</f>
        <v>0</v>
      </c>
      <c r="J744" s="369">
        <f t="shared" si="246"/>
        <v>0</v>
      </c>
      <c r="K744" s="369">
        <f t="shared" si="246"/>
        <v>0</v>
      </c>
      <c r="L744" s="369">
        <f t="shared" si="246"/>
        <v>0</v>
      </c>
      <c r="M744" s="369">
        <f t="shared" si="246"/>
        <v>0</v>
      </c>
      <c r="N744" s="369">
        <f t="shared" si="246"/>
        <v>0</v>
      </c>
      <c r="O744" s="369">
        <f t="shared" si="246"/>
        <v>0</v>
      </c>
      <c r="P744" s="369">
        <f t="shared" si="246"/>
        <v>0</v>
      </c>
      <c r="Q744" s="369">
        <f t="shared" si="246"/>
        <v>0</v>
      </c>
      <c r="R744" s="369">
        <f t="shared" si="246"/>
        <v>0</v>
      </c>
      <c r="S744" s="369">
        <f t="shared" si="246"/>
        <v>0</v>
      </c>
      <c r="T744" s="369">
        <f t="shared" si="246"/>
        <v>0</v>
      </c>
      <c r="U744" s="369">
        <f t="shared" si="246"/>
        <v>0</v>
      </c>
      <c r="V744" s="369">
        <f t="shared" si="246"/>
        <v>0</v>
      </c>
      <c r="W744" s="369">
        <f t="shared" si="246"/>
        <v>0</v>
      </c>
      <c r="X744" s="369">
        <f t="shared" si="246"/>
        <v>0</v>
      </c>
      <c r="Y744" s="369">
        <f t="shared" si="246"/>
        <v>0</v>
      </c>
      <c r="Z744" s="369">
        <f t="shared" si="246"/>
        <v>0</v>
      </c>
      <c r="AA744" s="369">
        <f t="shared" si="246"/>
        <v>0</v>
      </c>
      <c r="AB744" s="369">
        <f t="shared" si="246"/>
        <v>0</v>
      </c>
      <c r="AC744" s="369">
        <f t="shared" si="246"/>
        <v>0</v>
      </c>
      <c r="AD744" s="369">
        <f t="shared" si="246"/>
        <v>0</v>
      </c>
      <c r="AE744" s="369">
        <f t="shared" si="246"/>
        <v>0</v>
      </c>
      <c r="AF744" s="369">
        <f t="shared" si="246"/>
        <v>0</v>
      </c>
      <c r="AG744" s="369">
        <f t="shared" si="246"/>
        <v>0</v>
      </c>
      <c r="AH744" s="369">
        <f t="shared" si="246"/>
        <v>0</v>
      </c>
      <c r="AI744" s="369">
        <f t="shared" si="246"/>
        <v>0</v>
      </c>
      <c r="AJ744" s="369">
        <f t="shared" si="246"/>
        <v>0</v>
      </c>
      <c r="AK744" s="369">
        <f t="shared" si="246"/>
        <v>0</v>
      </c>
      <c r="AL744" s="369">
        <f t="shared" si="246"/>
        <v>0</v>
      </c>
      <c r="AM744" s="369">
        <f t="shared" si="246"/>
        <v>0</v>
      </c>
      <c r="AN744" s="369">
        <f t="shared" si="246"/>
        <v>0</v>
      </c>
      <c r="AO744" s="369">
        <f t="shared" si="246"/>
        <v>0</v>
      </c>
      <c r="AP744" s="369">
        <f t="shared" si="246"/>
        <v>0</v>
      </c>
      <c r="AQ744" s="369">
        <f t="shared" si="246"/>
        <v>0</v>
      </c>
      <c r="AR744" s="369">
        <f t="shared" si="246"/>
        <v>0</v>
      </c>
      <c r="AS744" s="369">
        <f t="shared" si="246"/>
        <v>0</v>
      </c>
      <c r="AT744" s="369">
        <f t="shared" si="246"/>
        <v>0</v>
      </c>
      <c r="AU744" s="369">
        <f t="shared" si="246"/>
        <v>0</v>
      </c>
      <c r="AV744" s="369">
        <f t="shared" si="246"/>
        <v>0</v>
      </c>
      <c r="AW744" s="369">
        <f t="shared" si="246"/>
        <v>0</v>
      </c>
      <c r="AX744" s="369">
        <f t="shared" si="246"/>
        <v>0</v>
      </c>
      <c r="AY744" s="369">
        <f t="shared" si="246"/>
        <v>0</v>
      </c>
      <c r="AZ744" s="369">
        <f t="shared" si="246"/>
        <v>0</v>
      </c>
      <c r="BA744" s="369">
        <f t="shared" si="246"/>
        <v>0</v>
      </c>
      <c r="BB744" s="369">
        <f t="shared" si="246"/>
        <v>0</v>
      </c>
      <c r="BC744" s="369">
        <f t="shared" si="246"/>
        <v>0</v>
      </c>
      <c r="BD744" s="369">
        <f t="shared" si="246"/>
        <v>0</v>
      </c>
      <c r="BE744" s="1335">
        <f t="shared" si="246"/>
        <v>0</v>
      </c>
    </row>
    <row r="745" spans="2:57" x14ac:dyDescent="0.25">
      <c r="B745" s="358"/>
      <c r="C745" s="359"/>
      <c r="D745" s="359"/>
      <c r="E745" s="359"/>
      <c r="F745" s="359"/>
      <c r="G745" s="369"/>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369"/>
      <c r="AY745" s="369"/>
      <c r="AZ745" s="369"/>
      <c r="BA745" s="369"/>
      <c r="BB745" s="369"/>
      <c r="BC745" s="369"/>
      <c r="BD745" s="369"/>
      <c r="BE745" s="1335"/>
    </row>
    <row r="746" spans="2:57" x14ac:dyDescent="0.25">
      <c r="B746" s="358"/>
      <c r="C746" s="417" t="s">
        <v>71</v>
      </c>
      <c r="D746" s="359"/>
      <c r="E746" s="359"/>
      <c r="F746" s="359"/>
      <c r="G746" s="369"/>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369"/>
      <c r="AY746" s="369"/>
      <c r="AZ746" s="369"/>
      <c r="BA746" s="369"/>
      <c r="BB746" s="369"/>
      <c r="BC746" s="369"/>
      <c r="BD746" s="369"/>
      <c r="BE746" s="1335"/>
    </row>
    <row r="747" spans="2:57" x14ac:dyDescent="0.25">
      <c r="B747" s="358"/>
      <c r="C747" s="359" t="s">
        <v>236</v>
      </c>
      <c r="D747" s="359"/>
      <c r="E747" s="359"/>
      <c r="F747" s="359"/>
      <c r="G747" s="369"/>
      <c r="H747" s="369">
        <f>IF($G731&gt;0, $G731*'II. Inputs, Baseline Energy Mix'!$S$51/10000,0)</f>
        <v>0</v>
      </c>
      <c r="I747" s="369">
        <v>0</v>
      </c>
      <c r="J747" s="369">
        <v>0</v>
      </c>
      <c r="K747" s="369">
        <v>0</v>
      </c>
      <c r="L747" s="369">
        <v>0</v>
      </c>
      <c r="M747" s="369">
        <v>0</v>
      </c>
      <c r="N747" s="369">
        <v>0</v>
      </c>
      <c r="O747" s="369">
        <v>0</v>
      </c>
      <c r="P747" s="369">
        <v>0</v>
      </c>
      <c r="Q747" s="369">
        <v>0</v>
      </c>
      <c r="R747" s="369">
        <v>0</v>
      </c>
      <c r="S747" s="369">
        <v>0</v>
      </c>
      <c r="T747" s="369">
        <v>0</v>
      </c>
      <c r="U747" s="369">
        <v>0</v>
      </c>
      <c r="V747" s="369">
        <v>0</v>
      </c>
      <c r="W747" s="369">
        <v>0</v>
      </c>
      <c r="X747" s="369">
        <v>0</v>
      </c>
      <c r="Y747" s="369">
        <v>0</v>
      </c>
      <c r="Z747" s="369">
        <v>0</v>
      </c>
      <c r="AA747" s="369">
        <v>0</v>
      </c>
      <c r="AB747" s="369">
        <v>0</v>
      </c>
      <c r="AC747" s="369">
        <v>0</v>
      </c>
      <c r="AD747" s="369">
        <v>0</v>
      </c>
      <c r="AE747" s="369">
        <v>0</v>
      </c>
      <c r="AF747" s="369">
        <v>0</v>
      </c>
      <c r="AG747" s="369">
        <v>0</v>
      </c>
      <c r="AH747" s="369">
        <v>0</v>
      </c>
      <c r="AI747" s="369">
        <v>0</v>
      </c>
      <c r="AJ747" s="369">
        <v>0</v>
      </c>
      <c r="AK747" s="369">
        <v>0</v>
      </c>
      <c r="AL747" s="369">
        <v>0</v>
      </c>
      <c r="AM747" s="369">
        <v>0</v>
      </c>
      <c r="AN747" s="369">
        <v>0</v>
      </c>
      <c r="AO747" s="369">
        <v>0</v>
      </c>
      <c r="AP747" s="369">
        <v>0</v>
      </c>
      <c r="AQ747" s="369">
        <v>0</v>
      </c>
      <c r="AR747" s="369">
        <v>0</v>
      </c>
      <c r="AS747" s="369">
        <v>0</v>
      </c>
      <c r="AT747" s="369">
        <v>0</v>
      </c>
      <c r="AU747" s="369">
        <v>0</v>
      </c>
      <c r="AV747" s="369">
        <v>0</v>
      </c>
      <c r="AW747" s="369">
        <v>0</v>
      </c>
      <c r="AX747" s="369">
        <v>0</v>
      </c>
      <c r="AY747" s="369">
        <v>0</v>
      </c>
      <c r="AZ747" s="369">
        <v>0</v>
      </c>
      <c r="BA747" s="369">
        <v>0</v>
      </c>
      <c r="BB747" s="369">
        <v>0</v>
      </c>
      <c r="BC747" s="369">
        <v>0</v>
      </c>
      <c r="BD747" s="369">
        <v>0</v>
      </c>
      <c r="BE747" s="1335">
        <v>0</v>
      </c>
    </row>
    <row r="748" spans="2:57" x14ac:dyDescent="0.25">
      <c r="B748" s="358"/>
      <c r="C748" s="359"/>
      <c r="D748" s="359"/>
      <c r="E748" s="359"/>
      <c r="F748" s="359"/>
      <c r="G748" s="359"/>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359"/>
      <c r="AY748" s="359"/>
      <c r="AZ748" s="359"/>
      <c r="BA748" s="359"/>
      <c r="BB748" s="359"/>
      <c r="BC748" s="359"/>
      <c r="BD748" s="359"/>
      <c r="BE748" s="360"/>
    </row>
    <row r="749" spans="2:57" x14ac:dyDescent="0.25">
      <c r="B749" s="358"/>
      <c r="C749" s="359"/>
      <c r="D749" s="359"/>
      <c r="E749" s="359"/>
      <c r="F749" s="359"/>
      <c r="G749" s="359"/>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359"/>
      <c r="AY749" s="359"/>
      <c r="AZ749" s="359"/>
      <c r="BA749" s="359"/>
      <c r="BB749" s="359"/>
      <c r="BC749" s="359"/>
      <c r="BD749" s="359"/>
      <c r="BE749" s="360"/>
    </row>
    <row r="750" spans="2:57" x14ac:dyDescent="0.25">
      <c r="B750" s="370" t="s">
        <v>86</v>
      </c>
      <c r="C750" s="359"/>
      <c r="D750" s="359"/>
      <c r="E750" s="359"/>
      <c r="F750" s="359"/>
      <c r="G750" s="359"/>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359"/>
      <c r="AY750" s="359"/>
      <c r="AZ750" s="359"/>
      <c r="BA750" s="359"/>
      <c r="BB750" s="359"/>
      <c r="BC750" s="359"/>
      <c r="BD750" s="359"/>
      <c r="BE750" s="360"/>
    </row>
    <row r="751" spans="2:57" x14ac:dyDescent="0.25">
      <c r="B751" s="358"/>
      <c r="C751" s="414" t="s">
        <v>84</v>
      </c>
      <c r="D751" s="359"/>
      <c r="E751" s="359"/>
      <c r="F751" s="359"/>
      <c r="G751" s="369">
        <f>IF('II. Inputs, Baseline Energy Mix'!$S$15&gt;0, ('II. Inputs, Baseline Energy Mix'!$S$16*'II. Inputs, Baseline Energy Mix'!$S$17*'II. Inputs, Baseline Energy Mix'!$S$29*'II. Inputs, Baseline Energy Mix'!$S$80),0)</f>
        <v>0</v>
      </c>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359"/>
      <c r="AY751" s="359"/>
      <c r="AZ751" s="359"/>
      <c r="BA751" s="359"/>
      <c r="BB751" s="359"/>
      <c r="BC751" s="359"/>
      <c r="BD751" s="359"/>
      <c r="BE751" s="360"/>
    </row>
    <row r="752" spans="2:57" x14ac:dyDescent="0.25">
      <c r="B752" s="358"/>
      <c r="C752" s="414" t="str">
        <f>'II. Inputs, Baseline Energy Mix'!$E$81</f>
        <v xml:space="preserve">Term of Political Risk Insurance </v>
      </c>
      <c r="D752" s="359"/>
      <c r="E752" s="359"/>
      <c r="F752" s="359"/>
      <c r="G752" s="361">
        <f>'II. Inputs, Baseline Energy Mix'!$S$81</f>
        <v>0</v>
      </c>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359"/>
      <c r="AY752" s="359"/>
      <c r="AZ752" s="359"/>
      <c r="BA752" s="359"/>
      <c r="BB752" s="359"/>
      <c r="BC752" s="359"/>
      <c r="BD752" s="359"/>
      <c r="BE752" s="360"/>
    </row>
    <row r="753" spans="1:57" x14ac:dyDescent="0.25">
      <c r="B753" s="358"/>
      <c r="C753" s="414" t="str">
        <f>'II. Inputs, Baseline Energy Mix'!$E$82</f>
        <v xml:space="preserve">Front-end Fee </v>
      </c>
      <c r="D753" s="359"/>
      <c r="E753" s="359"/>
      <c r="F753" s="359"/>
      <c r="G753" s="369">
        <f>'II. Inputs, Baseline Energy Mix'!$S$82</f>
        <v>0</v>
      </c>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359"/>
      <c r="AY753" s="359"/>
      <c r="AZ753" s="359"/>
      <c r="BA753" s="359"/>
      <c r="BB753" s="359"/>
      <c r="BC753" s="359"/>
      <c r="BD753" s="359"/>
      <c r="BE753" s="360"/>
    </row>
    <row r="754" spans="1:57" x14ac:dyDescent="0.25">
      <c r="B754" s="358"/>
      <c r="C754" s="414" t="str">
        <f>'II. Inputs, Baseline Energy Mix'!$E$83</f>
        <v xml:space="preserve">Annual Political Risk Insurance Premium </v>
      </c>
      <c r="D754" s="359"/>
      <c r="E754" s="359"/>
      <c r="F754" s="359"/>
      <c r="G754" s="369">
        <f>'II. Inputs, Baseline Energy Mix'!$S$83</f>
        <v>0</v>
      </c>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359"/>
      <c r="AY754" s="359"/>
      <c r="AZ754" s="359"/>
      <c r="BA754" s="359"/>
      <c r="BB754" s="359"/>
      <c r="BC754" s="359"/>
      <c r="BD754" s="359"/>
      <c r="BE754" s="360"/>
    </row>
    <row r="755" spans="1:57" x14ac:dyDescent="0.25">
      <c r="B755" s="358"/>
      <c r="C755" s="359"/>
      <c r="D755" s="359"/>
      <c r="E755" s="359"/>
      <c r="F755" s="359"/>
      <c r="G755" s="359"/>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359"/>
      <c r="AY755" s="359"/>
      <c r="AZ755" s="359"/>
      <c r="BA755" s="359"/>
      <c r="BB755" s="359"/>
      <c r="BC755" s="359"/>
      <c r="BD755" s="359"/>
      <c r="BE755" s="360"/>
    </row>
    <row r="756" spans="1:57" x14ac:dyDescent="0.25">
      <c r="B756" s="358"/>
      <c r="C756" s="417" t="s">
        <v>71</v>
      </c>
      <c r="D756" s="359"/>
      <c r="E756" s="359"/>
      <c r="F756" s="359"/>
      <c r="G756" s="359"/>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359"/>
      <c r="AY756" s="359"/>
      <c r="AZ756" s="359"/>
      <c r="BA756" s="359"/>
      <c r="BB756" s="359"/>
      <c r="BC756" s="359"/>
      <c r="BD756" s="359"/>
      <c r="BE756" s="360"/>
    </row>
    <row r="757" spans="1:57" x14ac:dyDescent="0.25">
      <c r="B757" s="358"/>
      <c r="C757" s="359" t="str">
        <f>'II. Inputs, Baseline Energy Mix'!$E$82</f>
        <v xml:space="preserve">Front-end Fee </v>
      </c>
      <c r="D757" s="359"/>
      <c r="E757" s="359"/>
      <c r="F757" s="359"/>
      <c r="G757" s="359"/>
      <c r="H757" s="369">
        <f>IF(G751&gt;0, G751*G753/10000, 0)</f>
        <v>0</v>
      </c>
      <c r="I757" s="369">
        <v>0</v>
      </c>
      <c r="J757" s="369">
        <v>0</v>
      </c>
      <c r="K757" s="369">
        <v>0</v>
      </c>
      <c r="L757" s="369">
        <v>0</v>
      </c>
      <c r="M757" s="369">
        <v>0</v>
      </c>
      <c r="N757" s="369">
        <v>0</v>
      </c>
      <c r="O757" s="369">
        <v>0</v>
      </c>
      <c r="P757" s="369">
        <v>0</v>
      </c>
      <c r="Q757" s="369">
        <v>0</v>
      </c>
      <c r="R757" s="369">
        <v>0</v>
      </c>
      <c r="S757" s="369">
        <v>0</v>
      </c>
      <c r="T757" s="369">
        <v>0</v>
      </c>
      <c r="U757" s="369">
        <v>0</v>
      </c>
      <c r="V757" s="369">
        <v>0</v>
      </c>
      <c r="W757" s="369">
        <v>0</v>
      </c>
      <c r="X757" s="369">
        <v>0</v>
      </c>
      <c r="Y757" s="369">
        <v>0</v>
      </c>
      <c r="Z757" s="369">
        <v>0</v>
      </c>
      <c r="AA757" s="369">
        <v>0</v>
      </c>
      <c r="AB757" s="369">
        <v>0</v>
      </c>
      <c r="AC757" s="369">
        <v>0</v>
      </c>
      <c r="AD757" s="369">
        <v>0</v>
      </c>
      <c r="AE757" s="369">
        <v>0</v>
      </c>
      <c r="AF757" s="369">
        <v>0</v>
      </c>
      <c r="AG757" s="369">
        <v>0</v>
      </c>
      <c r="AH757" s="369">
        <v>0</v>
      </c>
      <c r="AI757" s="369">
        <v>0</v>
      </c>
      <c r="AJ757" s="369">
        <v>0</v>
      </c>
      <c r="AK757" s="369">
        <v>0</v>
      </c>
      <c r="AL757" s="369">
        <v>0</v>
      </c>
      <c r="AM757" s="369">
        <v>0</v>
      </c>
      <c r="AN757" s="369">
        <v>0</v>
      </c>
      <c r="AO757" s="369">
        <v>0</v>
      </c>
      <c r="AP757" s="369">
        <v>0</v>
      </c>
      <c r="AQ757" s="369">
        <v>0</v>
      </c>
      <c r="AR757" s="369">
        <v>0</v>
      </c>
      <c r="AS757" s="369">
        <v>0</v>
      </c>
      <c r="AT757" s="369">
        <v>0</v>
      </c>
      <c r="AU757" s="369">
        <v>0</v>
      </c>
      <c r="AV757" s="369">
        <v>0</v>
      </c>
      <c r="AW757" s="369">
        <v>0</v>
      </c>
      <c r="AX757" s="369">
        <v>0</v>
      </c>
      <c r="AY757" s="369">
        <v>0</v>
      </c>
      <c r="AZ757" s="369">
        <v>0</v>
      </c>
      <c r="BA757" s="369">
        <v>0</v>
      </c>
      <c r="BB757" s="369">
        <v>0</v>
      </c>
      <c r="BC757" s="369">
        <v>0</v>
      </c>
      <c r="BD757" s="369">
        <v>0</v>
      </c>
      <c r="BE757" s="1335">
        <v>0</v>
      </c>
    </row>
    <row r="758" spans="1:57" x14ac:dyDescent="0.25">
      <c r="B758" s="358"/>
      <c r="C758" s="366" t="str">
        <f>'II. Inputs, Baseline Energy Mix'!$E$83</f>
        <v xml:space="preserve">Annual Political Risk Insurance Premium </v>
      </c>
      <c r="D758" s="366"/>
      <c r="E758" s="366"/>
      <c r="F758" s="366"/>
      <c r="G758" s="366"/>
      <c r="H758" s="1336">
        <f>IF(H$299&gt;$G752,0,($G751*$G754/10000))</f>
        <v>0</v>
      </c>
      <c r="I758" s="1336">
        <f>IF(I$299&gt;$G752,0,($G751*$G754/10000))</f>
        <v>0</v>
      </c>
      <c r="J758" s="1336">
        <f t="shared" ref="J758:BE758" si="247">IF(J$299&gt;$G752,0,($G751*$G754/10000))</f>
        <v>0</v>
      </c>
      <c r="K758" s="1336">
        <f t="shared" si="247"/>
        <v>0</v>
      </c>
      <c r="L758" s="1336">
        <f t="shared" si="247"/>
        <v>0</v>
      </c>
      <c r="M758" s="1336">
        <f t="shared" si="247"/>
        <v>0</v>
      </c>
      <c r="N758" s="1336">
        <f t="shared" si="247"/>
        <v>0</v>
      </c>
      <c r="O758" s="1336">
        <f t="shared" si="247"/>
        <v>0</v>
      </c>
      <c r="P758" s="1336">
        <f t="shared" si="247"/>
        <v>0</v>
      </c>
      <c r="Q758" s="1336">
        <f t="shared" si="247"/>
        <v>0</v>
      </c>
      <c r="R758" s="1336">
        <f t="shared" si="247"/>
        <v>0</v>
      </c>
      <c r="S758" s="1336">
        <f t="shared" si="247"/>
        <v>0</v>
      </c>
      <c r="T758" s="1336">
        <f t="shared" si="247"/>
        <v>0</v>
      </c>
      <c r="U758" s="1336">
        <f t="shared" si="247"/>
        <v>0</v>
      </c>
      <c r="V758" s="1336">
        <f t="shared" si="247"/>
        <v>0</v>
      </c>
      <c r="W758" s="1336">
        <f t="shared" si="247"/>
        <v>0</v>
      </c>
      <c r="X758" s="1336">
        <f t="shared" si="247"/>
        <v>0</v>
      </c>
      <c r="Y758" s="1336">
        <f t="shared" si="247"/>
        <v>0</v>
      </c>
      <c r="Z758" s="1336">
        <f t="shared" si="247"/>
        <v>0</v>
      </c>
      <c r="AA758" s="1336">
        <f t="shared" si="247"/>
        <v>0</v>
      </c>
      <c r="AB758" s="1336">
        <f t="shared" si="247"/>
        <v>0</v>
      </c>
      <c r="AC758" s="1336">
        <f t="shared" si="247"/>
        <v>0</v>
      </c>
      <c r="AD758" s="1336">
        <f t="shared" si="247"/>
        <v>0</v>
      </c>
      <c r="AE758" s="1336">
        <f t="shared" si="247"/>
        <v>0</v>
      </c>
      <c r="AF758" s="1336">
        <f t="shared" si="247"/>
        <v>0</v>
      </c>
      <c r="AG758" s="1336">
        <f t="shared" si="247"/>
        <v>0</v>
      </c>
      <c r="AH758" s="1336">
        <f t="shared" si="247"/>
        <v>0</v>
      </c>
      <c r="AI758" s="1336">
        <f t="shared" si="247"/>
        <v>0</v>
      </c>
      <c r="AJ758" s="1336">
        <f t="shared" si="247"/>
        <v>0</v>
      </c>
      <c r="AK758" s="1336">
        <f t="shared" si="247"/>
        <v>0</v>
      </c>
      <c r="AL758" s="1336">
        <f t="shared" si="247"/>
        <v>0</v>
      </c>
      <c r="AM758" s="1336">
        <f t="shared" si="247"/>
        <v>0</v>
      </c>
      <c r="AN758" s="1336">
        <f t="shared" si="247"/>
        <v>0</v>
      </c>
      <c r="AO758" s="1336">
        <f t="shared" si="247"/>
        <v>0</v>
      </c>
      <c r="AP758" s="1336">
        <f t="shared" si="247"/>
        <v>0</v>
      </c>
      <c r="AQ758" s="1336">
        <f t="shared" si="247"/>
        <v>0</v>
      </c>
      <c r="AR758" s="1336">
        <f t="shared" si="247"/>
        <v>0</v>
      </c>
      <c r="AS758" s="1336">
        <f t="shared" si="247"/>
        <v>0</v>
      </c>
      <c r="AT758" s="1336">
        <f t="shared" si="247"/>
        <v>0</v>
      </c>
      <c r="AU758" s="1336">
        <f t="shared" si="247"/>
        <v>0</v>
      </c>
      <c r="AV758" s="1336">
        <f t="shared" si="247"/>
        <v>0</v>
      </c>
      <c r="AW758" s="1336">
        <f t="shared" si="247"/>
        <v>0</v>
      </c>
      <c r="AX758" s="1336">
        <f t="shared" si="247"/>
        <v>0</v>
      </c>
      <c r="AY758" s="1336">
        <f t="shared" si="247"/>
        <v>0</v>
      </c>
      <c r="AZ758" s="1336">
        <f t="shared" si="247"/>
        <v>0</v>
      </c>
      <c r="BA758" s="1336">
        <f t="shared" si="247"/>
        <v>0</v>
      </c>
      <c r="BB758" s="1336">
        <f t="shared" si="247"/>
        <v>0</v>
      </c>
      <c r="BC758" s="1336">
        <f t="shared" si="247"/>
        <v>0</v>
      </c>
      <c r="BD758" s="1336">
        <f t="shared" si="247"/>
        <v>0</v>
      </c>
      <c r="BE758" s="1337">
        <f t="shared" si="247"/>
        <v>0</v>
      </c>
    </row>
    <row r="759" spans="1:57" x14ac:dyDescent="0.25">
      <c r="B759" s="358"/>
      <c r="C759" s="359" t="s">
        <v>85</v>
      </c>
      <c r="D759" s="359"/>
      <c r="E759" s="359"/>
      <c r="F759" s="359"/>
      <c r="G759" s="359"/>
      <c r="H759" s="369">
        <f>H757+H758</f>
        <v>0</v>
      </c>
      <c r="I759" s="369">
        <f t="shared" ref="I759:BE759" si="248">I757+I758</f>
        <v>0</v>
      </c>
      <c r="J759" s="369">
        <f t="shared" si="248"/>
        <v>0</v>
      </c>
      <c r="K759" s="369">
        <f t="shared" si="248"/>
        <v>0</v>
      </c>
      <c r="L759" s="369">
        <f t="shared" si="248"/>
        <v>0</v>
      </c>
      <c r="M759" s="369">
        <f t="shared" si="248"/>
        <v>0</v>
      </c>
      <c r="N759" s="369">
        <f t="shared" si="248"/>
        <v>0</v>
      </c>
      <c r="O759" s="369">
        <f t="shared" si="248"/>
        <v>0</v>
      </c>
      <c r="P759" s="369">
        <f t="shared" si="248"/>
        <v>0</v>
      </c>
      <c r="Q759" s="369">
        <f t="shared" si="248"/>
        <v>0</v>
      </c>
      <c r="R759" s="369">
        <f t="shared" si="248"/>
        <v>0</v>
      </c>
      <c r="S759" s="369">
        <f t="shared" si="248"/>
        <v>0</v>
      </c>
      <c r="T759" s="369">
        <f t="shared" si="248"/>
        <v>0</v>
      </c>
      <c r="U759" s="369">
        <f t="shared" si="248"/>
        <v>0</v>
      </c>
      <c r="V759" s="369">
        <f t="shared" si="248"/>
        <v>0</v>
      </c>
      <c r="W759" s="369">
        <f t="shared" si="248"/>
        <v>0</v>
      </c>
      <c r="X759" s="369">
        <f t="shared" si="248"/>
        <v>0</v>
      </c>
      <c r="Y759" s="369">
        <f t="shared" si="248"/>
        <v>0</v>
      </c>
      <c r="Z759" s="369">
        <f t="shared" si="248"/>
        <v>0</v>
      </c>
      <c r="AA759" s="369">
        <f t="shared" si="248"/>
        <v>0</v>
      </c>
      <c r="AB759" s="369">
        <f t="shared" si="248"/>
        <v>0</v>
      </c>
      <c r="AC759" s="369">
        <f t="shared" si="248"/>
        <v>0</v>
      </c>
      <c r="AD759" s="369">
        <f t="shared" si="248"/>
        <v>0</v>
      </c>
      <c r="AE759" s="369">
        <f t="shared" si="248"/>
        <v>0</v>
      </c>
      <c r="AF759" s="369">
        <f t="shared" si="248"/>
        <v>0</v>
      </c>
      <c r="AG759" s="369">
        <f t="shared" si="248"/>
        <v>0</v>
      </c>
      <c r="AH759" s="369">
        <f t="shared" si="248"/>
        <v>0</v>
      </c>
      <c r="AI759" s="369">
        <f t="shared" si="248"/>
        <v>0</v>
      </c>
      <c r="AJ759" s="369">
        <f t="shared" si="248"/>
        <v>0</v>
      </c>
      <c r="AK759" s="369">
        <f t="shared" si="248"/>
        <v>0</v>
      </c>
      <c r="AL759" s="369">
        <f t="shared" si="248"/>
        <v>0</v>
      </c>
      <c r="AM759" s="369">
        <f t="shared" si="248"/>
        <v>0</v>
      </c>
      <c r="AN759" s="369">
        <f t="shared" si="248"/>
        <v>0</v>
      </c>
      <c r="AO759" s="369">
        <f t="shared" si="248"/>
        <v>0</v>
      </c>
      <c r="AP759" s="369">
        <f t="shared" si="248"/>
        <v>0</v>
      </c>
      <c r="AQ759" s="369">
        <f t="shared" si="248"/>
        <v>0</v>
      </c>
      <c r="AR759" s="369">
        <f t="shared" si="248"/>
        <v>0</v>
      </c>
      <c r="AS759" s="369">
        <f t="shared" si="248"/>
        <v>0</v>
      </c>
      <c r="AT759" s="369">
        <f t="shared" si="248"/>
        <v>0</v>
      </c>
      <c r="AU759" s="369">
        <f t="shared" si="248"/>
        <v>0</v>
      </c>
      <c r="AV759" s="369">
        <f t="shared" si="248"/>
        <v>0</v>
      </c>
      <c r="AW759" s="369">
        <f t="shared" si="248"/>
        <v>0</v>
      </c>
      <c r="AX759" s="369">
        <f t="shared" si="248"/>
        <v>0</v>
      </c>
      <c r="AY759" s="369">
        <f t="shared" si="248"/>
        <v>0</v>
      </c>
      <c r="AZ759" s="369">
        <f t="shared" si="248"/>
        <v>0</v>
      </c>
      <c r="BA759" s="369">
        <f t="shared" si="248"/>
        <v>0</v>
      </c>
      <c r="BB759" s="369">
        <f t="shared" si="248"/>
        <v>0</v>
      </c>
      <c r="BC759" s="369">
        <f t="shared" si="248"/>
        <v>0</v>
      </c>
      <c r="BD759" s="369">
        <f t="shared" si="248"/>
        <v>0</v>
      </c>
      <c r="BE759" s="1335">
        <f t="shared" si="248"/>
        <v>0</v>
      </c>
    </row>
    <row r="760" spans="1:57" ht="13.8" thickBot="1" x14ac:dyDescent="0.3">
      <c r="B760" s="419"/>
      <c r="C760" s="379"/>
      <c r="D760" s="379"/>
      <c r="E760" s="379"/>
      <c r="F760" s="379"/>
      <c r="G760" s="379"/>
      <c r="H760" s="380"/>
      <c r="I760" s="380"/>
      <c r="J760" s="380"/>
      <c r="K760" s="380"/>
      <c r="L760" s="380"/>
      <c r="M760" s="380"/>
      <c r="N760" s="380"/>
      <c r="O760" s="380"/>
      <c r="P760" s="380"/>
      <c r="Q760" s="380"/>
      <c r="R760" s="380"/>
      <c r="S760" s="380"/>
      <c r="T760" s="380"/>
      <c r="U760" s="380"/>
      <c r="V760" s="380"/>
      <c r="W760" s="380"/>
      <c r="X760" s="380"/>
      <c r="Y760" s="380"/>
      <c r="Z760" s="380"/>
      <c r="AA760" s="380"/>
      <c r="AB760" s="380"/>
      <c r="AC760" s="380"/>
      <c r="AD760" s="380"/>
      <c r="AE760" s="380"/>
      <c r="AF760" s="380"/>
      <c r="AG760" s="380"/>
      <c r="AH760" s="380"/>
      <c r="AI760" s="380"/>
      <c r="AJ760" s="380"/>
      <c r="AK760" s="380"/>
      <c r="AL760" s="380"/>
      <c r="AM760" s="380"/>
      <c r="AN760" s="380"/>
      <c r="AO760" s="380"/>
      <c r="AP760" s="380"/>
      <c r="AQ760" s="380"/>
      <c r="AR760" s="380"/>
      <c r="AS760" s="380"/>
      <c r="AT760" s="380"/>
      <c r="AU760" s="380"/>
      <c r="AV760" s="380"/>
      <c r="AW760" s="380"/>
      <c r="AX760" s="380"/>
      <c r="AY760" s="380"/>
      <c r="AZ760" s="380"/>
      <c r="BA760" s="380"/>
      <c r="BB760" s="380"/>
      <c r="BC760" s="380"/>
      <c r="BD760" s="380"/>
      <c r="BE760" s="420"/>
    </row>
    <row r="761" spans="1:57" x14ac:dyDescent="0.25">
      <c r="H761" s="249"/>
      <c r="I761" s="249"/>
      <c r="J761" s="249"/>
      <c r="K761" s="249"/>
      <c r="L761" s="249"/>
      <c r="M761" s="249"/>
      <c r="N761" s="249"/>
      <c r="O761" s="249"/>
      <c r="P761" s="249"/>
      <c r="Q761" s="249"/>
      <c r="R761" s="249"/>
      <c r="S761" s="249"/>
      <c r="T761" s="249"/>
      <c r="U761" s="249"/>
      <c r="V761" s="249"/>
      <c r="W761" s="249"/>
      <c r="X761" s="249"/>
      <c r="Y761" s="249"/>
      <c r="Z761" s="249"/>
      <c r="AA761" s="249"/>
      <c r="AB761" s="249"/>
      <c r="AC761" s="249"/>
      <c r="AD761" s="249"/>
      <c r="AE761" s="249"/>
      <c r="AF761" s="249"/>
      <c r="AG761" s="249"/>
      <c r="AH761" s="249"/>
      <c r="AI761" s="249"/>
      <c r="AJ761" s="249"/>
      <c r="AK761" s="249"/>
      <c r="AL761" s="249"/>
      <c r="AM761" s="249"/>
      <c r="AN761" s="249"/>
      <c r="AO761" s="249"/>
      <c r="AP761" s="249"/>
      <c r="AQ761" s="249"/>
      <c r="AR761" s="249"/>
      <c r="AS761" s="249"/>
      <c r="AT761" s="249"/>
      <c r="AU761" s="249"/>
      <c r="AV761" s="249"/>
      <c r="AW761" s="249"/>
      <c r="AX761" s="249"/>
      <c r="AY761" s="249"/>
      <c r="AZ761" s="249"/>
      <c r="BA761" s="249"/>
      <c r="BB761" s="249"/>
      <c r="BC761" s="249"/>
      <c r="BD761" s="249"/>
      <c r="BE761" s="249"/>
    </row>
    <row r="762" spans="1:57" s="8" customFormat="1" ht="12.75" customHeight="1" x14ac:dyDescent="0.25">
      <c r="A762" s="44" t="s">
        <v>261</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25">
      <c r="H763" s="249"/>
      <c r="I763" s="249"/>
      <c r="J763" s="249"/>
      <c r="K763" s="249"/>
      <c r="L763" s="249"/>
      <c r="M763" s="249"/>
      <c r="N763" s="249"/>
      <c r="O763" s="249"/>
      <c r="P763" s="249"/>
      <c r="Q763" s="249"/>
      <c r="R763" s="249"/>
      <c r="S763" s="249"/>
      <c r="T763" s="249"/>
      <c r="U763" s="249"/>
      <c r="V763" s="249"/>
      <c r="W763" s="249"/>
      <c r="X763" s="249"/>
      <c r="Y763" s="249"/>
      <c r="Z763" s="249"/>
      <c r="AA763" s="249"/>
      <c r="AB763" s="249"/>
      <c r="AC763" s="249"/>
      <c r="AD763" s="249"/>
      <c r="AE763" s="249"/>
      <c r="AF763" s="249"/>
      <c r="AG763" s="249"/>
      <c r="AH763" s="249"/>
      <c r="AI763" s="249"/>
      <c r="AJ763" s="249"/>
      <c r="AK763" s="249"/>
      <c r="AL763" s="249"/>
      <c r="AM763" s="249"/>
      <c r="AN763" s="249"/>
      <c r="AO763" s="249"/>
      <c r="AP763" s="249"/>
      <c r="AQ763" s="249"/>
      <c r="AR763" s="249"/>
      <c r="AS763" s="249"/>
      <c r="AT763" s="249"/>
      <c r="AU763" s="249"/>
      <c r="AV763" s="249"/>
      <c r="AW763" s="249"/>
      <c r="AX763" s="249"/>
      <c r="AY763" s="249"/>
      <c r="AZ763" s="249"/>
      <c r="BA763" s="249"/>
      <c r="BB763" s="249"/>
      <c r="BC763" s="249"/>
      <c r="BD763" s="249"/>
      <c r="BE763" s="249"/>
    </row>
    <row r="764" spans="1:57" s="36" customFormat="1" x14ac:dyDescent="0.25">
      <c r="B764" s="213" t="s">
        <v>58</v>
      </c>
      <c r="C764" s="214"/>
      <c r="D764" s="214"/>
      <c r="E764" s="215"/>
      <c r="F764" s="214"/>
      <c r="G764" s="215">
        <v>0</v>
      </c>
      <c r="H764" s="215">
        <v>1</v>
      </c>
      <c r="I764" s="215">
        <v>2</v>
      </c>
      <c r="J764" s="215">
        <v>3</v>
      </c>
      <c r="K764" s="215">
        <v>4</v>
      </c>
      <c r="L764" s="215">
        <v>5</v>
      </c>
      <c r="M764" s="215">
        <v>6</v>
      </c>
      <c r="N764" s="215">
        <v>7</v>
      </c>
      <c r="O764" s="215">
        <v>8</v>
      </c>
      <c r="P764" s="215">
        <v>9</v>
      </c>
      <c r="Q764" s="215">
        <v>10</v>
      </c>
      <c r="R764" s="215">
        <v>11</v>
      </c>
      <c r="S764" s="215">
        <v>12</v>
      </c>
      <c r="T764" s="215">
        <v>13</v>
      </c>
      <c r="U764" s="215">
        <v>14</v>
      </c>
      <c r="V764" s="215">
        <v>15</v>
      </c>
      <c r="W764" s="215">
        <v>16</v>
      </c>
      <c r="X764" s="215">
        <v>17</v>
      </c>
      <c r="Y764" s="215">
        <v>18</v>
      </c>
      <c r="Z764" s="215">
        <v>19</v>
      </c>
      <c r="AA764" s="215">
        <v>20</v>
      </c>
      <c r="AB764" s="215">
        <v>21</v>
      </c>
      <c r="AC764" s="215">
        <v>22</v>
      </c>
      <c r="AD764" s="215">
        <v>23</v>
      </c>
      <c r="AE764" s="215">
        <v>24</v>
      </c>
      <c r="AF764" s="215">
        <v>25</v>
      </c>
      <c r="AG764" s="215">
        <v>26</v>
      </c>
      <c r="AH764" s="215">
        <v>27</v>
      </c>
      <c r="AI764" s="215">
        <v>28</v>
      </c>
      <c r="AJ764" s="215">
        <v>29</v>
      </c>
      <c r="AK764" s="215">
        <v>30</v>
      </c>
      <c r="AL764" s="215">
        <v>31</v>
      </c>
      <c r="AM764" s="215">
        <v>32</v>
      </c>
      <c r="AN764" s="215">
        <v>33</v>
      </c>
      <c r="AO764" s="215">
        <v>34</v>
      </c>
      <c r="AP764" s="215">
        <v>35</v>
      </c>
      <c r="AQ764" s="215">
        <v>36</v>
      </c>
      <c r="AR764" s="215">
        <v>37</v>
      </c>
      <c r="AS764" s="215">
        <v>38</v>
      </c>
      <c r="AT764" s="215">
        <v>39</v>
      </c>
      <c r="AU764" s="215">
        <v>40</v>
      </c>
      <c r="AV764" s="215">
        <v>41</v>
      </c>
      <c r="AW764" s="215">
        <v>42</v>
      </c>
      <c r="AX764" s="215">
        <v>43</v>
      </c>
      <c r="AY764" s="215">
        <v>44</v>
      </c>
      <c r="AZ764" s="215">
        <v>45</v>
      </c>
      <c r="BA764" s="215">
        <v>46</v>
      </c>
      <c r="BB764" s="215">
        <v>47</v>
      </c>
      <c r="BC764" s="215">
        <v>48</v>
      </c>
      <c r="BD764" s="215">
        <v>49</v>
      </c>
      <c r="BE764" s="215">
        <v>50</v>
      </c>
    </row>
    <row r="765" spans="1:57" x14ac:dyDescent="0.25">
      <c r="H765" s="249"/>
      <c r="I765" s="249"/>
      <c r="J765" s="249"/>
      <c r="K765" s="249"/>
      <c r="L765" s="249"/>
      <c r="M765" s="249"/>
      <c r="N765" s="249"/>
      <c r="O765" s="249"/>
      <c r="P765" s="249"/>
      <c r="Q765" s="249"/>
      <c r="R765" s="249"/>
      <c r="S765" s="249"/>
      <c r="T765" s="249"/>
      <c r="U765" s="249"/>
      <c r="V765" s="249"/>
      <c r="W765" s="249"/>
      <c r="X765" s="249"/>
      <c r="Y765" s="249"/>
      <c r="Z765" s="249"/>
      <c r="AA765" s="249"/>
      <c r="AB765" s="249"/>
      <c r="AC765" s="249"/>
      <c r="AD765" s="249"/>
      <c r="AE765" s="249"/>
      <c r="AF765" s="249"/>
      <c r="AG765" s="249"/>
      <c r="AH765" s="249"/>
      <c r="AI765" s="249"/>
      <c r="AJ765" s="249"/>
      <c r="AK765" s="249"/>
      <c r="AL765" s="249"/>
      <c r="AM765" s="249"/>
      <c r="AN765" s="249"/>
      <c r="AO765" s="249"/>
      <c r="AP765" s="249"/>
      <c r="AQ765" s="249"/>
      <c r="AR765" s="249"/>
      <c r="AS765" s="249"/>
      <c r="AT765" s="249"/>
      <c r="AU765" s="249"/>
      <c r="AV765" s="249"/>
      <c r="AW765" s="249"/>
      <c r="AX765" s="249"/>
      <c r="AY765" s="249"/>
      <c r="AZ765" s="249"/>
      <c r="BA765" s="249"/>
      <c r="BB765" s="249"/>
      <c r="BC765" s="249"/>
      <c r="BD765" s="249"/>
      <c r="BE765" s="249"/>
    </row>
    <row r="766" spans="1:57" x14ac:dyDescent="0.25">
      <c r="B766" s="421"/>
      <c r="C766" s="422" t="str">
        <f>'II. Inputs, Baseline Energy Mix'!N14</f>
        <v>Natural Gas</v>
      </c>
      <c r="D766" s="423"/>
      <c r="E766" s="423"/>
      <c r="F766" s="423"/>
      <c r="G766" s="423"/>
      <c r="H766" s="423"/>
      <c r="I766" s="424"/>
      <c r="J766" s="424"/>
      <c r="K766" s="424"/>
      <c r="L766" s="424"/>
      <c r="M766" s="424"/>
      <c r="N766" s="424"/>
      <c r="O766" s="424"/>
      <c r="P766" s="424"/>
      <c r="Q766" s="424"/>
      <c r="R766" s="424"/>
      <c r="S766" s="424"/>
      <c r="T766" s="424"/>
      <c r="U766" s="424"/>
      <c r="V766" s="424"/>
      <c r="W766" s="424"/>
      <c r="X766" s="424"/>
      <c r="Y766" s="424"/>
      <c r="Z766" s="424"/>
      <c r="AA766" s="424"/>
      <c r="AB766" s="424"/>
      <c r="AC766" s="424"/>
      <c r="AD766" s="424"/>
      <c r="AE766" s="424"/>
      <c r="AF766" s="424"/>
      <c r="AG766" s="424"/>
      <c r="AH766" s="424"/>
      <c r="AI766" s="424"/>
      <c r="AJ766" s="424"/>
      <c r="AK766" s="424"/>
      <c r="AL766" s="424"/>
      <c r="AM766" s="424"/>
      <c r="AN766" s="424"/>
      <c r="AO766" s="424"/>
      <c r="AP766" s="424"/>
      <c r="AQ766" s="424"/>
      <c r="AR766" s="424"/>
      <c r="AS766" s="424"/>
      <c r="AT766" s="424"/>
      <c r="AU766" s="424"/>
      <c r="AV766" s="424"/>
      <c r="AW766" s="424"/>
      <c r="AX766" s="424"/>
      <c r="AY766" s="424"/>
      <c r="AZ766" s="424"/>
      <c r="BA766" s="424"/>
      <c r="BB766" s="424"/>
      <c r="BC766" s="424"/>
      <c r="BD766" s="424"/>
      <c r="BE766" s="425"/>
    </row>
    <row r="767" spans="1:57" x14ac:dyDescent="0.25">
      <c r="B767" s="426"/>
      <c r="C767" s="220"/>
      <c r="D767" s="220"/>
      <c r="E767" s="220"/>
      <c r="F767" s="220"/>
      <c r="G767" s="220"/>
      <c r="H767" s="220"/>
      <c r="I767" s="236"/>
      <c r="J767" s="236"/>
      <c r="K767" s="236"/>
      <c r="L767" s="236"/>
      <c r="M767" s="236"/>
      <c r="N767" s="236"/>
      <c r="O767" s="236"/>
      <c r="P767" s="236"/>
      <c r="Q767" s="236"/>
      <c r="R767" s="236"/>
      <c r="S767" s="236"/>
      <c r="T767" s="236"/>
      <c r="U767" s="236"/>
      <c r="V767" s="236"/>
      <c r="W767" s="236"/>
      <c r="X767" s="236"/>
      <c r="Y767" s="236"/>
      <c r="Z767" s="236"/>
      <c r="AA767" s="236"/>
      <c r="AB767" s="236"/>
      <c r="AC767" s="236"/>
      <c r="AD767" s="236"/>
      <c r="AE767" s="236"/>
      <c r="AF767" s="236"/>
      <c r="AG767" s="236"/>
      <c r="AH767" s="236"/>
      <c r="AI767" s="236"/>
      <c r="AJ767" s="236"/>
      <c r="AK767" s="236"/>
      <c r="AL767" s="236"/>
      <c r="AM767" s="236"/>
      <c r="AN767" s="236"/>
      <c r="AO767" s="236"/>
      <c r="AP767" s="236"/>
      <c r="AQ767" s="236"/>
      <c r="AR767" s="236"/>
      <c r="AS767" s="236"/>
      <c r="AT767" s="236"/>
      <c r="AU767" s="236"/>
      <c r="AV767" s="236"/>
      <c r="AW767" s="236"/>
      <c r="AX767" s="236"/>
      <c r="AY767" s="236"/>
      <c r="AZ767" s="236"/>
      <c r="BA767" s="236"/>
      <c r="BB767" s="236"/>
      <c r="BC767" s="236"/>
      <c r="BD767" s="236"/>
      <c r="BE767" s="427"/>
    </row>
    <row r="768" spans="1:57" x14ac:dyDescent="0.25">
      <c r="B768" s="426"/>
      <c r="C768" s="428" t="s">
        <v>64</v>
      </c>
      <c r="D768" s="429">
        <f>'II. Inputs, Baseline Energy Mix'!$N$18</f>
        <v>25</v>
      </c>
      <c r="E768" s="430" t="s">
        <v>20</v>
      </c>
      <c r="F768" s="220"/>
      <c r="G768" s="220"/>
      <c r="H768" s="220"/>
      <c r="I768" s="236"/>
      <c r="J768" s="236"/>
      <c r="K768" s="236"/>
      <c r="L768" s="236"/>
      <c r="M768" s="236"/>
      <c r="N768" s="236"/>
      <c r="O768" s="236"/>
      <c r="P768" s="236"/>
      <c r="Q768" s="236"/>
      <c r="R768" s="236"/>
      <c r="S768" s="236"/>
      <c r="T768" s="236"/>
      <c r="U768" s="236"/>
      <c r="V768" s="236"/>
      <c r="W768" s="236"/>
      <c r="X768" s="236"/>
      <c r="Y768" s="236"/>
      <c r="Z768" s="236"/>
      <c r="AA768" s="236"/>
      <c r="AB768" s="236"/>
      <c r="AC768" s="236"/>
      <c r="AD768" s="236"/>
      <c r="AE768" s="236"/>
      <c r="AF768" s="236"/>
      <c r="AG768" s="236"/>
      <c r="AH768" s="236"/>
      <c r="AI768" s="236"/>
      <c r="AJ768" s="236"/>
      <c r="AK768" s="236"/>
      <c r="AL768" s="236"/>
      <c r="AM768" s="236"/>
      <c r="AN768" s="236"/>
      <c r="AO768" s="236"/>
      <c r="AP768" s="236"/>
      <c r="AQ768" s="236"/>
      <c r="AR768" s="236"/>
      <c r="AS768" s="236"/>
      <c r="AT768" s="236"/>
      <c r="AU768" s="236"/>
      <c r="AV768" s="236"/>
      <c r="AW768" s="236"/>
      <c r="AX768" s="236"/>
      <c r="AY768" s="236"/>
      <c r="AZ768" s="236"/>
      <c r="BA768" s="236"/>
      <c r="BB768" s="236"/>
      <c r="BC768" s="236"/>
      <c r="BD768" s="236"/>
      <c r="BE768" s="427"/>
    </row>
    <row r="769" spans="2:57" x14ac:dyDescent="0.25">
      <c r="B769" s="426"/>
      <c r="C769" s="220"/>
      <c r="D769" s="220"/>
      <c r="E769" s="220"/>
      <c r="F769" s="220"/>
      <c r="G769" s="220"/>
      <c r="H769" s="220"/>
      <c r="I769" s="236"/>
      <c r="J769" s="236"/>
      <c r="K769" s="236"/>
      <c r="L769" s="236"/>
      <c r="M769" s="236"/>
      <c r="N769" s="236"/>
      <c r="O769" s="236"/>
      <c r="P769" s="236"/>
      <c r="Q769" s="236"/>
      <c r="R769" s="236"/>
      <c r="S769" s="236"/>
      <c r="T769" s="236"/>
      <c r="U769" s="236"/>
      <c r="V769" s="236"/>
      <c r="W769" s="236"/>
      <c r="X769" s="236"/>
      <c r="Y769" s="236"/>
      <c r="Z769" s="236"/>
      <c r="AA769" s="236"/>
      <c r="AB769" s="236"/>
      <c r="AC769" s="236"/>
      <c r="AD769" s="236"/>
      <c r="AE769" s="236"/>
      <c r="AF769" s="236"/>
      <c r="AG769" s="236"/>
      <c r="AH769" s="236"/>
      <c r="AI769" s="236"/>
      <c r="AJ769" s="236"/>
      <c r="AK769" s="236"/>
      <c r="AL769" s="236"/>
      <c r="AM769" s="236"/>
      <c r="AN769" s="236"/>
      <c r="AO769" s="236"/>
      <c r="AP769" s="236"/>
      <c r="AQ769" s="236"/>
      <c r="AR769" s="236"/>
      <c r="AS769" s="236"/>
      <c r="AT769" s="236"/>
      <c r="AU769" s="236"/>
      <c r="AV769" s="236"/>
      <c r="AW769" s="236"/>
      <c r="AX769" s="236"/>
      <c r="AY769" s="236"/>
      <c r="AZ769" s="236"/>
      <c r="BA769" s="236"/>
      <c r="BB769" s="236"/>
      <c r="BC769" s="236"/>
      <c r="BD769" s="236"/>
      <c r="BE769" s="427"/>
    </row>
    <row r="770" spans="2:57" x14ac:dyDescent="0.25">
      <c r="B770" s="426"/>
      <c r="C770" s="220" t="s">
        <v>59</v>
      </c>
      <c r="D770" s="220"/>
      <c r="E770" s="220"/>
      <c r="F770" s="220"/>
      <c r="G770" s="431"/>
      <c r="H770" s="432">
        <f>IF(H$764&gt;$D768,0,1/$D768)</f>
        <v>0.04</v>
      </c>
      <c r="I770" s="432">
        <f t="shared" ref="I770:BE770" si="249">IF(I$764&gt;$D768,0,1/$D768)</f>
        <v>0.04</v>
      </c>
      <c r="J770" s="432">
        <f t="shared" si="249"/>
        <v>0.04</v>
      </c>
      <c r="K770" s="432">
        <f t="shared" si="249"/>
        <v>0.04</v>
      </c>
      <c r="L770" s="432">
        <f t="shared" si="249"/>
        <v>0.04</v>
      </c>
      <c r="M770" s="432">
        <f t="shared" si="249"/>
        <v>0.04</v>
      </c>
      <c r="N770" s="432">
        <f t="shared" si="249"/>
        <v>0.04</v>
      </c>
      <c r="O770" s="432">
        <f t="shared" si="249"/>
        <v>0.04</v>
      </c>
      <c r="P770" s="432">
        <f t="shared" si="249"/>
        <v>0.04</v>
      </c>
      <c r="Q770" s="432">
        <f t="shared" si="249"/>
        <v>0.04</v>
      </c>
      <c r="R770" s="432">
        <f t="shared" si="249"/>
        <v>0.04</v>
      </c>
      <c r="S770" s="432">
        <f t="shared" si="249"/>
        <v>0.04</v>
      </c>
      <c r="T770" s="432">
        <f t="shared" si="249"/>
        <v>0.04</v>
      </c>
      <c r="U770" s="432">
        <f t="shared" si="249"/>
        <v>0.04</v>
      </c>
      <c r="V770" s="432">
        <f t="shared" si="249"/>
        <v>0.04</v>
      </c>
      <c r="W770" s="432">
        <f t="shared" si="249"/>
        <v>0.04</v>
      </c>
      <c r="X770" s="432">
        <f t="shared" si="249"/>
        <v>0.04</v>
      </c>
      <c r="Y770" s="432">
        <f t="shared" si="249"/>
        <v>0.04</v>
      </c>
      <c r="Z770" s="432">
        <f t="shared" si="249"/>
        <v>0.04</v>
      </c>
      <c r="AA770" s="432">
        <f t="shared" si="249"/>
        <v>0.04</v>
      </c>
      <c r="AB770" s="432">
        <f t="shared" si="249"/>
        <v>0.04</v>
      </c>
      <c r="AC770" s="432">
        <f t="shared" si="249"/>
        <v>0.04</v>
      </c>
      <c r="AD770" s="432">
        <f t="shared" si="249"/>
        <v>0.04</v>
      </c>
      <c r="AE770" s="432">
        <f t="shared" si="249"/>
        <v>0.04</v>
      </c>
      <c r="AF770" s="432">
        <f t="shared" si="249"/>
        <v>0.04</v>
      </c>
      <c r="AG770" s="432">
        <f t="shared" si="249"/>
        <v>0</v>
      </c>
      <c r="AH770" s="432">
        <f t="shared" si="249"/>
        <v>0</v>
      </c>
      <c r="AI770" s="432">
        <f t="shared" si="249"/>
        <v>0</v>
      </c>
      <c r="AJ770" s="432">
        <f t="shared" si="249"/>
        <v>0</v>
      </c>
      <c r="AK770" s="432">
        <f t="shared" si="249"/>
        <v>0</v>
      </c>
      <c r="AL770" s="432">
        <f t="shared" si="249"/>
        <v>0</v>
      </c>
      <c r="AM770" s="432">
        <f t="shared" si="249"/>
        <v>0</v>
      </c>
      <c r="AN770" s="432">
        <f t="shared" si="249"/>
        <v>0</v>
      </c>
      <c r="AO770" s="432">
        <f t="shared" si="249"/>
        <v>0</v>
      </c>
      <c r="AP770" s="432">
        <f t="shared" si="249"/>
        <v>0</v>
      </c>
      <c r="AQ770" s="432">
        <f t="shared" si="249"/>
        <v>0</v>
      </c>
      <c r="AR770" s="432">
        <f t="shared" si="249"/>
        <v>0</v>
      </c>
      <c r="AS770" s="432">
        <f t="shared" si="249"/>
        <v>0</v>
      </c>
      <c r="AT770" s="432">
        <f t="shared" si="249"/>
        <v>0</v>
      </c>
      <c r="AU770" s="432">
        <f t="shared" si="249"/>
        <v>0</v>
      </c>
      <c r="AV770" s="432">
        <f t="shared" si="249"/>
        <v>0</v>
      </c>
      <c r="AW770" s="432">
        <f t="shared" si="249"/>
        <v>0</v>
      </c>
      <c r="AX770" s="432">
        <f t="shared" si="249"/>
        <v>0</v>
      </c>
      <c r="AY770" s="432">
        <f t="shared" si="249"/>
        <v>0</v>
      </c>
      <c r="AZ770" s="432">
        <f t="shared" si="249"/>
        <v>0</v>
      </c>
      <c r="BA770" s="432">
        <f t="shared" si="249"/>
        <v>0</v>
      </c>
      <c r="BB770" s="432">
        <f t="shared" si="249"/>
        <v>0</v>
      </c>
      <c r="BC770" s="432">
        <f t="shared" si="249"/>
        <v>0</v>
      </c>
      <c r="BD770" s="432">
        <f t="shared" si="249"/>
        <v>0</v>
      </c>
      <c r="BE770" s="433">
        <f t="shared" si="249"/>
        <v>0</v>
      </c>
    </row>
    <row r="771" spans="2:57" x14ac:dyDescent="0.25">
      <c r="B771" s="426"/>
      <c r="C771" s="220" t="s">
        <v>60</v>
      </c>
      <c r="D771" s="220"/>
      <c r="E771" s="220"/>
      <c r="F771" s="220"/>
      <c r="G771" s="383"/>
      <c r="H771" s="432">
        <v>0</v>
      </c>
      <c r="I771" s="432">
        <v>0</v>
      </c>
      <c r="J771" s="432">
        <v>0</v>
      </c>
      <c r="K771" s="432">
        <v>0</v>
      </c>
      <c r="L771" s="432">
        <v>0</v>
      </c>
      <c r="M771" s="432">
        <v>0</v>
      </c>
      <c r="N771" s="432">
        <v>0</v>
      </c>
      <c r="O771" s="432">
        <v>0</v>
      </c>
      <c r="P771" s="432">
        <v>0</v>
      </c>
      <c r="Q771" s="432">
        <v>0</v>
      </c>
      <c r="R771" s="432">
        <v>0</v>
      </c>
      <c r="S771" s="432">
        <v>0</v>
      </c>
      <c r="T771" s="432">
        <v>0</v>
      </c>
      <c r="U771" s="432">
        <v>0</v>
      </c>
      <c r="V771" s="432">
        <v>0</v>
      </c>
      <c r="W771" s="432">
        <v>0</v>
      </c>
      <c r="X771" s="432">
        <v>0</v>
      </c>
      <c r="Y771" s="432">
        <v>0</v>
      </c>
      <c r="Z771" s="432">
        <v>0</v>
      </c>
      <c r="AA771" s="432">
        <v>0</v>
      </c>
      <c r="AB771" s="432">
        <v>0</v>
      </c>
      <c r="AC771" s="432">
        <v>0</v>
      </c>
      <c r="AD771" s="432">
        <v>0</v>
      </c>
      <c r="AE771" s="432">
        <v>0</v>
      </c>
      <c r="AF771" s="432">
        <v>0</v>
      </c>
      <c r="AG771" s="432">
        <v>0</v>
      </c>
      <c r="AH771" s="432">
        <v>0</v>
      </c>
      <c r="AI771" s="432">
        <v>0</v>
      </c>
      <c r="AJ771" s="432">
        <v>0</v>
      </c>
      <c r="AK771" s="432">
        <v>0</v>
      </c>
      <c r="AL771" s="432">
        <v>0</v>
      </c>
      <c r="AM771" s="432">
        <v>0</v>
      </c>
      <c r="AN771" s="432">
        <v>0</v>
      </c>
      <c r="AO771" s="432">
        <v>0</v>
      </c>
      <c r="AP771" s="432">
        <v>0</v>
      </c>
      <c r="AQ771" s="432">
        <v>0</v>
      </c>
      <c r="AR771" s="432">
        <v>0</v>
      </c>
      <c r="AS771" s="432">
        <v>0</v>
      </c>
      <c r="AT771" s="432">
        <v>0</v>
      </c>
      <c r="AU771" s="432">
        <v>0</v>
      </c>
      <c r="AV771" s="432">
        <v>0</v>
      </c>
      <c r="AW771" s="432">
        <v>0</v>
      </c>
      <c r="AX771" s="432">
        <v>0</v>
      </c>
      <c r="AY771" s="432">
        <v>0</v>
      </c>
      <c r="AZ771" s="432">
        <v>0</v>
      </c>
      <c r="BA771" s="432">
        <v>0</v>
      </c>
      <c r="BB771" s="432">
        <v>0</v>
      </c>
      <c r="BC771" s="432">
        <v>0</v>
      </c>
      <c r="BD771" s="432">
        <v>0</v>
      </c>
      <c r="BE771" s="433">
        <v>0</v>
      </c>
    </row>
    <row r="772" spans="2:57" x14ac:dyDescent="0.25">
      <c r="B772" s="426"/>
      <c r="C772" s="220"/>
      <c r="D772" s="220"/>
      <c r="E772" s="220"/>
      <c r="F772" s="220"/>
      <c r="G772" s="220"/>
      <c r="H772" s="236"/>
      <c r="I772" s="236"/>
      <c r="J772" s="236"/>
      <c r="K772" s="236"/>
      <c r="L772" s="236"/>
      <c r="M772" s="236"/>
      <c r="N772" s="236"/>
      <c r="O772" s="236"/>
      <c r="P772" s="236"/>
      <c r="Q772" s="236"/>
      <c r="R772" s="236"/>
      <c r="S772" s="236"/>
      <c r="T772" s="236"/>
      <c r="U772" s="236"/>
      <c r="V772" s="236"/>
      <c r="W772" s="236"/>
      <c r="X772" s="236"/>
      <c r="Y772" s="236"/>
      <c r="Z772" s="236"/>
      <c r="AA772" s="236"/>
      <c r="AB772" s="236"/>
      <c r="AC772" s="236"/>
      <c r="AD772" s="236"/>
      <c r="AE772" s="236"/>
      <c r="AF772" s="236"/>
      <c r="AG772" s="236"/>
      <c r="AH772" s="236"/>
      <c r="AI772" s="236"/>
      <c r="AJ772" s="236"/>
      <c r="AK772" s="236"/>
      <c r="AL772" s="236"/>
      <c r="AM772" s="236"/>
      <c r="AN772" s="236"/>
      <c r="AO772" s="236"/>
      <c r="AP772" s="236"/>
      <c r="AQ772" s="236"/>
      <c r="AR772" s="236"/>
      <c r="AS772" s="236"/>
      <c r="AT772" s="236"/>
      <c r="AU772" s="236"/>
      <c r="AV772" s="236"/>
      <c r="AW772" s="236"/>
      <c r="AX772" s="236"/>
      <c r="AY772" s="236"/>
      <c r="AZ772" s="236"/>
      <c r="BA772" s="236"/>
      <c r="BB772" s="236"/>
      <c r="BC772" s="236"/>
      <c r="BD772" s="236"/>
      <c r="BE772" s="427"/>
    </row>
    <row r="773" spans="2:57" x14ac:dyDescent="0.25">
      <c r="B773" s="426"/>
      <c r="C773" s="220"/>
      <c r="D773" s="220"/>
      <c r="E773" s="220"/>
      <c r="F773" s="434" t="s">
        <v>61</v>
      </c>
      <c r="G773" s="434" t="s">
        <v>62</v>
      </c>
      <c r="H773" s="220"/>
      <c r="I773" s="220"/>
      <c r="J773" s="220"/>
      <c r="K773" s="220"/>
      <c r="L773" s="220"/>
      <c r="M773" s="220"/>
      <c r="N773" s="220"/>
      <c r="O773" s="220"/>
      <c r="P773" s="220"/>
      <c r="Q773" s="220"/>
      <c r="R773" s="220"/>
      <c r="S773" s="220"/>
      <c r="T773" s="220"/>
      <c r="U773" s="220"/>
      <c r="V773" s="220"/>
      <c r="W773" s="220"/>
      <c r="X773" s="220"/>
      <c r="Y773" s="220"/>
      <c r="Z773" s="220"/>
      <c r="AA773" s="220"/>
      <c r="AB773" s="220"/>
      <c r="AC773" s="220"/>
      <c r="AD773" s="220"/>
      <c r="AE773" s="220"/>
      <c r="AF773" s="220"/>
      <c r="AG773" s="220"/>
      <c r="AH773" s="220"/>
      <c r="AI773" s="220"/>
      <c r="AJ773" s="220"/>
      <c r="AK773" s="220"/>
      <c r="AL773" s="220"/>
      <c r="AM773" s="220"/>
      <c r="AN773" s="220"/>
      <c r="AO773" s="220"/>
      <c r="AP773" s="220"/>
      <c r="AQ773" s="220"/>
      <c r="AR773" s="220"/>
      <c r="AS773" s="220"/>
      <c r="AT773" s="220"/>
      <c r="AU773" s="220"/>
      <c r="AV773" s="220"/>
      <c r="AW773" s="220"/>
      <c r="AX773" s="220"/>
      <c r="AY773" s="220"/>
      <c r="AZ773" s="220"/>
      <c r="BA773" s="220"/>
      <c r="BB773" s="220"/>
      <c r="BC773" s="220"/>
      <c r="BD773" s="220"/>
      <c r="BE773" s="435"/>
    </row>
    <row r="774" spans="2:57" x14ac:dyDescent="0.25">
      <c r="B774" s="426"/>
      <c r="C774" s="220" t="s">
        <v>57</v>
      </c>
      <c r="D774" s="220"/>
      <c r="E774" s="220"/>
      <c r="F774" s="432">
        <f>'II. Inputs, Baseline Energy Mix'!$N$109</f>
        <v>1</v>
      </c>
      <c r="G774" s="236">
        <f>IF('II. Inputs, Baseline Energy Mix'!$N$15&gt;0, F774*'II. Inputs, Baseline Energy Mix'!$N$16*'II. Inputs, Baseline Energy Mix'!$N$17,0)</f>
        <v>0</v>
      </c>
      <c r="H774" s="236">
        <f>$G$774*H770</f>
        <v>0</v>
      </c>
      <c r="I774" s="236">
        <f t="shared" ref="I774:BE774" si="250">$G$774*I770</f>
        <v>0</v>
      </c>
      <c r="J774" s="236">
        <f t="shared" si="250"/>
        <v>0</v>
      </c>
      <c r="K774" s="236">
        <f t="shared" si="250"/>
        <v>0</v>
      </c>
      <c r="L774" s="236">
        <f t="shared" si="250"/>
        <v>0</v>
      </c>
      <c r="M774" s="236">
        <f t="shared" si="250"/>
        <v>0</v>
      </c>
      <c r="N774" s="236">
        <f t="shared" si="250"/>
        <v>0</v>
      </c>
      <c r="O774" s="236">
        <f t="shared" si="250"/>
        <v>0</v>
      </c>
      <c r="P774" s="236">
        <f t="shared" si="250"/>
        <v>0</v>
      </c>
      <c r="Q774" s="236">
        <f t="shared" si="250"/>
        <v>0</v>
      </c>
      <c r="R774" s="236">
        <f t="shared" si="250"/>
        <v>0</v>
      </c>
      <c r="S774" s="236">
        <f t="shared" si="250"/>
        <v>0</v>
      </c>
      <c r="T774" s="236">
        <f t="shared" si="250"/>
        <v>0</v>
      </c>
      <c r="U774" s="236">
        <f t="shared" si="250"/>
        <v>0</v>
      </c>
      <c r="V774" s="236">
        <f t="shared" si="250"/>
        <v>0</v>
      </c>
      <c r="W774" s="236">
        <f t="shared" si="250"/>
        <v>0</v>
      </c>
      <c r="X774" s="236">
        <f t="shared" si="250"/>
        <v>0</v>
      </c>
      <c r="Y774" s="236">
        <f t="shared" si="250"/>
        <v>0</v>
      </c>
      <c r="Z774" s="236">
        <f t="shared" si="250"/>
        <v>0</v>
      </c>
      <c r="AA774" s="236">
        <f t="shared" si="250"/>
        <v>0</v>
      </c>
      <c r="AB774" s="236">
        <f t="shared" si="250"/>
        <v>0</v>
      </c>
      <c r="AC774" s="236">
        <f t="shared" si="250"/>
        <v>0</v>
      </c>
      <c r="AD774" s="236">
        <f t="shared" si="250"/>
        <v>0</v>
      </c>
      <c r="AE774" s="236">
        <f t="shared" si="250"/>
        <v>0</v>
      </c>
      <c r="AF774" s="236">
        <f t="shared" si="250"/>
        <v>0</v>
      </c>
      <c r="AG774" s="236">
        <f t="shared" si="250"/>
        <v>0</v>
      </c>
      <c r="AH774" s="236">
        <f t="shared" si="250"/>
        <v>0</v>
      </c>
      <c r="AI774" s="236">
        <f t="shared" si="250"/>
        <v>0</v>
      </c>
      <c r="AJ774" s="236">
        <f t="shared" si="250"/>
        <v>0</v>
      </c>
      <c r="AK774" s="236">
        <f t="shared" si="250"/>
        <v>0</v>
      </c>
      <c r="AL774" s="236">
        <f t="shared" si="250"/>
        <v>0</v>
      </c>
      <c r="AM774" s="236">
        <f t="shared" si="250"/>
        <v>0</v>
      </c>
      <c r="AN774" s="236">
        <f t="shared" si="250"/>
        <v>0</v>
      </c>
      <c r="AO774" s="236">
        <f t="shared" si="250"/>
        <v>0</v>
      </c>
      <c r="AP774" s="236">
        <f t="shared" si="250"/>
        <v>0</v>
      </c>
      <c r="AQ774" s="236">
        <f t="shared" si="250"/>
        <v>0</v>
      </c>
      <c r="AR774" s="236">
        <f t="shared" si="250"/>
        <v>0</v>
      </c>
      <c r="AS774" s="236">
        <f t="shared" si="250"/>
        <v>0</v>
      </c>
      <c r="AT774" s="236">
        <f t="shared" si="250"/>
        <v>0</v>
      </c>
      <c r="AU774" s="236">
        <f t="shared" si="250"/>
        <v>0</v>
      </c>
      <c r="AV774" s="236">
        <f t="shared" si="250"/>
        <v>0</v>
      </c>
      <c r="AW774" s="236">
        <f t="shared" si="250"/>
        <v>0</v>
      </c>
      <c r="AX774" s="236">
        <f t="shared" si="250"/>
        <v>0</v>
      </c>
      <c r="AY774" s="236">
        <f t="shared" si="250"/>
        <v>0</v>
      </c>
      <c r="AZ774" s="236">
        <f t="shared" si="250"/>
        <v>0</v>
      </c>
      <c r="BA774" s="236">
        <f t="shared" si="250"/>
        <v>0</v>
      </c>
      <c r="BB774" s="236">
        <f t="shared" si="250"/>
        <v>0</v>
      </c>
      <c r="BC774" s="236">
        <f t="shared" si="250"/>
        <v>0</v>
      </c>
      <c r="BD774" s="236">
        <f t="shared" si="250"/>
        <v>0</v>
      </c>
      <c r="BE774" s="427">
        <f t="shared" si="250"/>
        <v>0</v>
      </c>
    </row>
    <row r="775" spans="2:57" x14ac:dyDescent="0.25">
      <c r="B775" s="426"/>
      <c r="C775" s="228" t="s">
        <v>18</v>
      </c>
      <c r="D775" s="228"/>
      <c r="E775" s="228"/>
      <c r="F775" s="436">
        <f>'II. Inputs, Baseline Energy Mix'!$N$110</f>
        <v>0</v>
      </c>
      <c r="G775" s="238">
        <f>IF('II. Inputs, Baseline Energy Mix'!$N$15&gt;0, F775*'II. Inputs, Baseline Energy Mix'!$N$16*'II. Inputs, Baseline Energy Mix'!$N$17,0)</f>
        <v>0</v>
      </c>
      <c r="H775" s="238">
        <f>$G$775*H771</f>
        <v>0</v>
      </c>
      <c r="I775" s="238">
        <f t="shared" ref="I775:BE775" si="251">$G$775*I771</f>
        <v>0</v>
      </c>
      <c r="J775" s="238">
        <f t="shared" si="251"/>
        <v>0</v>
      </c>
      <c r="K775" s="238">
        <f t="shared" si="251"/>
        <v>0</v>
      </c>
      <c r="L775" s="238">
        <f t="shared" si="251"/>
        <v>0</v>
      </c>
      <c r="M775" s="238">
        <f t="shared" si="251"/>
        <v>0</v>
      </c>
      <c r="N775" s="238">
        <f t="shared" si="251"/>
        <v>0</v>
      </c>
      <c r="O775" s="238">
        <f t="shared" si="251"/>
        <v>0</v>
      </c>
      <c r="P775" s="238">
        <f t="shared" si="251"/>
        <v>0</v>
      </c>
      <c r="Q775" s="238">
        <f t="shared" si="251"/>
        <v>0</v>
      </c>
      <c r="R775" s="238">
        <f t="shared" si="251"/>
        <v>0</v>
      </c>
      <c r="S775" s="238">
        <f t="shared" si="251"/>
        <v>0</v>
      </c>
      <c r="T775" s="238">
        <f t="shared" si="251"/>
        <v>0</v>
      </c>
      <c r="U775" s="238">
        <f t="shared" si="251"/>
        <v>0</v>
      </c>
      <c r="V775" s="238">
        <f t="shared" si="251"/>
        <v>0</v>
      </c>
      <c r="W775" s="238">
        <f t="shared" si="251"/>
        <v>0</v>
      </c>
      <c r="X775" s="238">
        <f t="shared" si="251"/>
        <v>0</v>
      </c>
      <c r="Y775" s="238">
        <f t="shared" si="251"/>
        <v>0</v>
      </c>
      <c r="Z775" s="238">
        <f t="shared" si="251"/>
        <v>0</v>
      </c>
      <c r="AA775" s="238">
        <f t="shared" si="251"/>
        <v>0</v>
      </c>
      <c r="AB775" s="238">
        <f t="shared" si="251"/>
        <v>0</v>
      </c>
      <c r="AC775" s="238">
        <f t="shared" si="251"/>
        <v>0</v>
      </c>
      <c r="AD775" s="238">
        <f t="shared" si="251"/>
        <v>0</v>
      </c>
      <c r="AE775" s="238">
        <f t="shared" si="251"/>
        <v>0</v>
      </c>
      <c r="AF775" s="238">
        <f t="shared" si="251"/>
        <v>0</v>
      </c>
      <c r="AG775" s="238">
        <f t="shared" si="251"/>
        <v>0</v>
      </c>
      <c r="AH775" s="238">
        <f t="shared" si="251"/>
        <v>0</v>
      </c>
      <c r="AI775" s="238">
        <f t="shared" si="251"/>
        <v>0</v>
      </c>
      <c r="AJ775" s="238">
        <f t="shared" si="251"/>
        <v>0</v>
      </c>
      <c r="AK775" s="238">
        <f t="shared" si="251"/>
        <v>0</v>
      </c>
      <c r="AL775" s="238">
        <f t="shared" si="251"/>
        <v>0</v>
      </c>
      <c r="AM775" s="238">
        <f t="shared" si="251"/>
        <v>0</v>
      </c>
      <c r="AN775" s="238">
        <f t="shared" si="251"/>
        <v>0</v>
      </c>
      <c r="AO775" s="238">
        <f t="shared" si="251"/>
        <v>0</v>
      </c>
      <c r="AP775" s="238">
        <f t="shared" si="251"/>
        <v>0</v>
      </c>
      <c r="AQ775" s="238">
        <f t="shared" si="251"/>
        <v>0</v>
      </c>
      <c r="AR775" s="238">
        <f t="shared" si="251"/>
        <v>0</v>
      </c>
      <c r="AS775" s="238">
        <f t="shared" si="251"/>
        <v>0</v>
      </c>
      <c r="AT775" s="238">
        <f t="shared" si="251"/>
        <v>0</v>
      </c>
      <c r="AU775" s="238">
        <f t="shared" si="251"/>
        <v>0</v>
      </c>
      <c r="AV775" s="238">
        <f t="shared" si="251"/>
        <v>0</v>
      </c>
      <c r="AW775" s="238">
        <f t="shared" si="251"/>
        <v>0</v>
      </c>
      <c r="AX775" s="238">
        <f t="shared" si="251"/>
        <v>0</v>
      </c>
      <c r="AY775" s="238">
        <f t="shared" si="251"/>
        <v>0</v>
      </c>
      <c r="AZ775" s="238">
        <f t="shared" si="251"/>
        <v>0</v>
      </c>
      <c r="BA775" s="238">
        <f t="shared" si="251"/>
        <v>0</v>
      </c>
      <c r="BB775" s="238">
        <f t="shared" si="251"/>
        <v>0</v>
      </c>
      <c r="BC775" s="238">
        <f t="shared" si="251"/>
        <v>0</v>
      </c>
      <c r="BD775" s="238">
        <f t="shared" si="251"/>
        <v>0</v>
      </c>
      <c r="BE775" s="437">
        <f t="shared" si="251"/>
        <v>0</v>
      </c>
    </row>
    <row r="776" spans="2:57" x14ac:dyDescent="0.25">
      <c r="B776" s="426"/>
      <c r="C776" s="220" t="s">
        <v>63</v>
      </c>
      <c r="D776" s="220"/>
      <c r="E776" s="220"/>
      <c r="F776" s="220"/>
      <c r="G776" s="236">
        <f>G774+G775</f>
        <v>0</v>
      </c>
      <c r="H776" s="236">
        <f>H774+H775</f>
        <v>0</v>
      </c>
      <c r="I776" s="236">
        <f t="shared" ref="I776:BE776" si="252">I774+I775</f>
        <v>0</v>
      </c>
      <c r="J776" s="236">
        <f t="shared" si="252"/>
        <v>0</v>
      </c>
      <c r="K776" s="236">
        <f t="shared" si="252"/>
        <v>0</v>
      </c>
      <c r="L776" s="236">
        <f t="shared" si="252"/>
        <v>0</v>
      </c>
      <c r="M776" s="236">
        <f t="shared" si="252"/>
        <v>0</v>
      </c>
      <c r="N776" s="236">
        <f t="shared" si="252"/>
        <v>0</v>
      </c>
      <c r="O776" s="236">
        <f t="shared" si="252"/>
        <v>0</v>
      </c>
      <c r="P776" s="236">
        <f t="shared" si="252"/>
        <v>0</v>
      </c>
      <c r="Q776" s="236">
        <f t="shared" si="252"/>
        <v>0</v>
      </c>
      <c r="R776" s="236">
        <f t="shared" si="252"/>
        <v>0</v>
      </c>
      <c r="S776" s="236">
        <f t="shared" si="252"/>
        <v>0</v>
      </c>
      <c r="T776" s="236">
        <f t="shared" si="252"/>
        <v>0</v>
      </c>
      <c r="U776" s="236">
        <f t="shared" si="252"/>
        <v>0</v>
      </c>
      <c r="V776" s="236">
        <f t="shared" si="252"/>
        <v>0</v>
      </c>
      <c r="W776" s="236">
        <f t="shared" si="252"/>
        <v>0</v>
      </c>
      <c r="X776" s="236">
        <f t="shared" si="252"/>
        <v>0</v>
      </c>
      <c r="Y776" s="236">
        <f t="shared" si="252"/>
        <v>0</v>
      </c>
      <c r="Z776" s="236">
        <f t="shared" si="252"/>
        <v>0</v>
      </c>
      <c r="AA776" s="236">
        <f t="shared" si="252"/>
        <v>0</v>
      </c>
      <c r="AB776" s="236">
        <f t="shared" si="252"/>
        <v>0</v>
      </c>
      <c r="AC776" s="236">
        <f t="shared" si="252"/>
        <v>0</v>
      </c>
      <c r="AD776" s="236">
        <f t="shared" si="252"/>
        <v>0</v>
      </c>
      <c r="AE776" s="236">
        <f t="shared" si="252"/>
        <v>0</v>
      </c>
      <c r="AF776" s="236">
        <f t="shared" si="252"/>
        <v>0</v>
      </c>
      <c r="AG776" s="236">
        <f t="shared" si="252"/>
        <v>0</v>
      </c>
      <c r="AH776" s="236">
        <f t="shared" si="252"/>
        <v>0</v>
      </c>
      <c r="AI776" s="236">
        <f t="shared" si="252"/>
        <v>0</v>
      </c>
      <c r="AJ776" s="236">
        <f t="shared" si="252"/>
        <v>0</v>
      </c>
      <c r="AK776" s="236">
        <f t="shared" si="252"/>
        <v>0</v>
      </c>
      <c r="AL776" s="236">
        <f t="shared" si="252"/>
        <v>0</v>
      </c>
      <c r="AM776" s="236">
        <f t="shared" si="252"/>
        <v>0</v>
      </c>
      <c r="AN776" s="236">
        <f t="shared" si="252"/>
        <v>0</v>
      </c>
      <c r="AO776" s="236">
        <f t="shared" si="252"/>
        <v>0</v>
      </c>
      <c r="AP776" s="236">
        <f t="shared" si="252"/>
        <v>0</v>
      </c>
      <c r="AQ776" s="236">
        <f t="shared" si="252"/>
        <v>0</v>
      </c>
      <c r="AR776" s="236">
        <f t="shared" si="252"/>
        <v>0</v>
      </c>
      <c r="AS776" s="236">
        <f t="shared" si="252"/>
        <v>0</v>
      </c>
      <c r="AT776" s="236">
        <f t="shared" si="252"/>
        <v>0</v>
      </c>
      <c r="AU776" s="236">
        <f t="shared" si="252"/>
        <v>0</v>
      </c>
      <c r="AV776" s="236">
        <f t="shared" si="252"/>
        <v>0</v>
      </c>
      <c r="AW776" s="236">
        <f t="shared" si="252"/>
        <v>0</v>
      </c>
      <c r="AX776" s="236">
        <f t="shared" si="252"/>
        <v>0</v>
      </c>
      <c r="AY776" s="236">
        <f t="shared" si="252"/>
        <v>0</v>
      </c>
      <c r="AZ776" s="236">
        <f t="shared" si="252"/>
        <v>0</v>
      </c>
      <c r="BA776" s="236">
        <f t="shared" si="252"/>
        <v>0</v>
      </c>
      <c r="BB776" s="236">
        <f t="shared" si="252"/>
        <v>0</v>
      </c>
      <c r="BC776" s="236">
        <f t="shared" si="252"/>
        <v>0</v>
      </c>
      <c r="BD776" s="236">
        <f t="shared" si="252"/>
        <v>0</v>
      </c>
      <c r="BE776" s="427">
        <f t="shared" si="252"/>
        <v>0</v>
      </c>
    </row>
    <row r="777" spans="2:57" x14ac:dyDescent="0.25">
      <c r="B777" s="426"/>
      <c r="C777" s="220"/>
      <c r="D777" s="220"/>
      <c r="E777" s="220"/>
      <c r="F777" s="220"/>
      <c r="G777" s="220"/>
      <c r="H777" s="236"/>
      <c r="I777" s="236"/>
      <c r="J777" s="236"/>
      <c r="K777" s="236"/>
      <c r="L777" s="236"/>
      <c r="M777" s="236"/>
      <c r="N777" s="236"/>
      <c r="O777" s="236"/>
      <c r="P777" s="236"/>
      <c r="Q777" s="236"/>
      <c r="R777" s="236"/>
      <c r="S777" s="236"/>
      <c r="T777" s="236"/>
      <c r="U777" s="236"/>
      <c r="V777" s="236"/>
      <c r="W777" s="236"/>
      <c r="X777" s="236"/>
      <c r="Y777" s="236"/>
      <c r="Z777" s="236"/>
      <c r="AA777" s="236"/>
      <c r="AB777" s="236"/>
      <c r="AC777" s="236"/>
      <c r="AD777" s="236"/>
      <c r="AE777" s="236"/>
      <c r="AF777" s="236"/>
      <c r="AG777" s="236"/>
      <c r="AH777" s="236"/>
      <c r="AI777" s="236"/>
      <c r="AJ777" s="236"/>
      <c r="AK777" s="236"/>
      <c r="AL777" s="236"/>
      <c r="AM777" s="236"/>
      <c r="AN777" s="236"/>
      <c r="AO777" s="236"/>
      <c r="AP777" s="236"/>
      <c r="AQ777" s="236"/>
      <c r="AR777" s="236"/>
      <c r="AS777" s="236"/>
      <c r="AT777" s="236"/>
      <c r="AU777" s="236"/>
      <c r="AV777" s="236"/>
      <c r="AW777" s="236"/>
      <c r="AX777" s="236"/>
      <c r="AY777" s="236"/>
      <c r="AZ777" s="236"/>
      <c r="BA777" s="236"/>
      <c r="BB777" s="236"/>
      <c r="BC777" s="236"/>
      <c r="BD777" s="236"/>
      <c r="BE777" s="427"/>
    </row>
    <row r="778" spans="2:57" x14ac:dyDescent="0.25">
      <c r="B778" s="438"/>
      <c r="C778" s="228"/>
      <c r="D778" s="228"/>
      <c r="E778" s="228"/>
      <c r="F778" s="228"/>
      <c r="G778" s="22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437"/>
    </row>
    <row r="779" spans="2:57" x14ac:dyDescent="0.25">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49"/>
      <c r="AK779" s="249"/>
      <c r="AL779" s="249"/>
      <c r="AM779" s="249"/>
      <c r="AN779" s="249"/>
      <c r="AO779" s="249"/>
      <c r="AP779" s="249"/>
      <c r="AQ779" s="249"/>
      <c r="AR779" s="249"/>
      <c r="AS779" s="249"/>
      <c r="AT779" s="249"/>
      <c r="AU779" s="249"/>
      <c r="AV779" s="249"/>
      <c r="AW779" s="249"/>
      <c r="AX779" s="249"/>
      <c r="AY779" s="249"/>
      <c r="AZ779" s="249"/>
      <c r="BA779" s="249"/>
      <c r="BB779" s="249"/>
      <c r="BC779" s="249"/>
      <c r="BD779" s="249"/>
      <c r="BE779" s="249"/>
    </row>
    <row r="780" spans="2:57" x14ac:dyDescent="0.25">
      <c r="B780" s="439"/>
      <c r="C780" s="440" t="str">
        <f>'II. Inputs, Baseline Energy Mix'!O14</f>
        <v>Coal</v>
      </c>
      <c r="D780" s="441"/>
      <c r="E780" s="441"/>
      <c r="F780" s="441"/>
      <c r="G780" s="441"/>
      <c r="H780" s="441"/>
      <c r="I780" s="442"/>
      <c r="J780" s="442"/>
      <c r="K780" s="442"/>
      <c r="L780" s="442"/>
      <c r="M780" s="442"/>
      <c r="N780" s="442"/>
      <c r="O780" s="442"/>
      <c r="P780" s="442"/>
      <c r="Q780" s="442"/>
      <c r="R780" s="442"/>
      <c r="S780" s="442"/>
      <c r="T780" s="442"/>
      <c r="U780" s="442"/>
      <c r="V780" s="442"/>
      <c r="W780" s="442"/>
      <c r="X780" s="442"/>
      <c r="Y780" s="442"/>
      <c r="Z780" s="442"/>
      <c r="AA780" s="442"/>
      <c r="AB780" s="442"/>
      <c r="AC780" s="442"/>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2"/>
      <c r="AY780" s="442"/>
      <c r="AZ780" s="442"/>
      <c r="BA780" s="442"/>
      <c r="BB780" s="442"/>
      <c r="BC780" s="442"/>
      <c r="BD780" s="442"/>
      <c r="BE780" s="443"/>
    </row>
    <row r="781" spans="2:57" x14ac:dyDescent="0.25">
      <c r="B781" s="444"/>
      <c r="C781" s="445"/>
      <c r="D781" s="445"/>
      <c r="E781" s="445"/>
      <c r="F781" s="445"/>
      <c r="G781" s="445"/>
      <c r="H781" s="445"/>
      <c r="I781" s="446"/>
      <c r="J781" s="446"/>
      <c r="K781" s="446"/>
      <c r="L781" s="446"/>
      <c r="M781" s="446"/>
      <c r="N781" s="446"/>
      <c r="O781" s="446"/>
      <c r="P781" s="446"/>
      <c r="Q781" s="446"/>
      <c r="R781" s="446"/>
      <c r="S781" s="446"/>
      <c r="T781" s="446"/>
      <c r="U781" s="446"/>
      <c r="V781" s="446"/>
      <c r="W781" s="446"/>
      <c r="X781" s="446"/>
      <c r="Y781" s="446"/>
      <c r="Z781" s="446"/>
      <c r="AA781" s="446"/>
      <c r="AB781" s="446"/>
      <c r="AC781" s="446"/>
      <c r="AD781" s="446"/>
      <c r="AE781" s="446"/>
      <c r="AF781" s="446"/>
      <c r="AG781" s="446"/>
      <c r="AH781" s="446"/>
      <c r="AI781" s="446"/>
      <c r="AJ781" s="446"/>
      <c r="AK781" s="446"/>
      <c r="AL781" s="446"/>
      <c r="AM781" s="446"/>
      <c r="AN781" s="446"/>
      <c r="AO781" s="446"/>
      <c r="AP781" s="446"/>
      <c r="AQ781" s="446"/>
      <c r="AR781" s="446"/>
      <c r="AS781" s="446"/>
      <c r="AT781" s="446"/>
      <c r="AU781" s="446"/>
      <c r="AV781" s="446"/>
      <c r="AW781" s="446"/>
      <c r="AX781" s="446"/>
      <c r="AY781" s="446"/>
      <c r="AZ781" s="446"/>
      <c r="BA781" s="446"/>
      <c r="BB781" s="446"/>
      <c r="BC781" s="446"/>
      <c r="BD781" s="446"/>
      <c r="BE781" s="447"/>
    </row>
    <row r="782" spans="2:57" x14ac:dyDescent="0.25">
      <c r="B782" s="444"/>
      <c r="C782" s="448" t="s">
        <v>64</v>
      </c>
      <c r="D782" s="449">
        <f>'II. Inputs, Baseline Energy Mix'!$O$18</f>
        <v>40</v>
      </c>
      <c r="E782" s="450" t="s">
        <v>20</v>
      </c>
      <c r="F782" s="445"/>
      <c r="G782" s="445"/>
      <c r="H782" s="445"/>
      <c r="I782" s="446"/>
      <c r="J782" s="446"/>
      <c r="K782" s="446"/>
      <c r="L782" s="446"/>
      <c r="M782" s="446"/>
      <c r="N782" s="446"/>
      <c r="O782" s="446"/>
      <c r="P782" s="446"/>
      <c r="Q782" s="446"/>
      <c r="R782" s="446"/>
      <c r="S782" s="446"/>
      <c r="T782" s="446"/>
      <c r="U782" s="446"/>
      <c r="V782" s="446"/>
      <c r="W782" s="446"/>
      <c r="X782" s="446"/>
      <c r="Y782" s="446"/>
      <c r="Z782" s="446"/>
      <c r="AA782" s="446"/>
      <c r="AB782" s="446"/>
      <c r="AC782" s="446"/>
      <c r="AD782" s="446"/>
      <c r="AE782" s="446"/>
      <c r="AF782" s="446"/>
      <c r="AG782" s="446"/>
      <c r="AH782" s="446"/>
      <c r="AI782" s="446"/>
      <c r="AJ782" s="446"/>
      <c r="AK782" s="446"/>
      <c r="AL782" s="446"/>
      <c r="AM782" s="446"/>
      <c r="AN782" s="446"/>
      <c r="AO782" s="446"/>
      <c r="AP782" s="446"/>
      <c r="AQ782" s="446"/>
      <c r="AR782" s="446"/>
      <c r="AS782" s="446"/>
      <c r="AT782" s="446"/>
      <c r="AU782" s="446"/>
      <c r="AV782" s="446"/>
      <c r="AW782" s="446"/>
      <c r="AX782" s="446"/>
      <c r="AY782" s="446"/>
      <c r="AZ782" s="446"/>
      <c r="BA782" s="446"/>
      <c r="BB782" s="446"/>
      <c r="BC782" s="446"/>
      <c r="BD782" s="446"/>
      <c r="BE782" s="447"/>
    </row>
    <row r="783" spans="2:57" x14ac:dyDescent="0.25">
      <c r="B783" s="444"/>
      <c r="C783" s="445"/>
      <c r="D783" s="445"/>
      <c r="E783" s="445"/>
      <c r="F783" s="445"/>
      <c r="G783" s="445"/>
      <c r="H783" s="445"/>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6"/>
      <c r="AJ783" s="446"/>
      <c r="AK783" s="446"/>
      <c r="AL783" s="446"/>
      <c r="AM783" s="446"/>
      <c r="AN783" s="446"/>
      <c r="AO783" s="446"/>
      <c r="AP783" s="446"/>
      <c r="AQ783" s="446"/>
      <c r="AR783" s="446"/>
      <c r="AS783" s="446"/>
      <c r="AT783" s="446"/>
      <c r="AU783" s="446"/>
      <c r="AV783" s="446"/>
      <c r="AW783" s="446"/>
      <c r="AX783" s="446"/>
      <c r="AY783" s="446"/>
      <c r="AZ783" s="446"/>
      <c r="BA783" s="446"/>
      <c r="BB783" s="446"/>
      <c r="BC783" s="446"/>
      <c r="BD783" s="446"/>
      <c r="BE783" s="447"/>
    </row>
    <row r="784" spans="2:57" x14ac:dyDescent="0.25">
      <c r="B784" s="444"/>
      <c r="C784" s="445" t="s">
        <v>59</v>
      </c>
      <c r="D784" s="445"/>
      <c r="E784" s="445"/>
      <c r="F784" s="445"/>
      <c r="G784" s="451"/>
      <c r="H784" s="452">
        <f>IF(H$764&gt;$D$782,0,1/$D$782)</f>
        <v>2.5000000000000001E-2</v>
      </c>
      <c r="I784" s="452">
        <f t="shared" ref="I784:BE784" si="253">IF(I$764&gt;$D$782,0,1/$D$782)</f>
        <v>2.5000000000000001E-2</v>
      </c>
      <c r="J784" s="452">
        <f t="shared" si="253"/>
        <v>2.5000000000000001E-2</v>
      </c>
      <c r="K784" s="452">
        <f t="shared" si="253"/>
        <v>2.5000000000000001E-2</v>
      </c>
      <c r="L784" s="452">
        <f t="shared" si="253"/>
        <v>2.5000000000000001E-2</v>
      </c>
      <c r="M784" s="452">
        <f t="shared" si="253"/>
        <v>2.5000000000000001E-2</v>
      </c>
      <c r="N784" s="452">
        <f t="shared" si="253"/>
        <v>2.5000000000000001E-2</v>
      </c>
      <c r="O784" s="452">
        <f t="shared" si="253"/>
        <v>2.5000000000000001E-2</v>
      </c>
      <c r="P784" s="452">
        <f t="shared" si="253"/>
        <v>2.5000000000000001E-2</v>
      </c>
      <c r="Q784" s="452">
        <f t="shared" si="253"/>
        <v>2.5000000000000001E-2</v>
      </c>
      <c r="R784" s="452">
        <f t="shared" si="253"/>
        <v>2.5000000000000001E-2</v>
      </c>
      <c r="S784" s="452">
        <f t="shared" si="253"/>
        <v>2.5000000000000001E-2</v>
      </c>
      <c r="T784" s="452">
        <f t="shared" si="253"/>
        <v>2.5000000000000001E-2</v>
      </c>
      <c r="U784" s="452">
        <f t="shared" si="253"/>
        <v>2.5000000000000001E-2</v>
      </c>
      <c r="V784" s="452">
        <f t="shared" si="253"/>
        <v>2.5000000000000001E-2</v>
      </c>
      <c r="W784" s="452">
        <f t="shared" si="253"/>
        <v>2.5000000000000001E-2</v>
      </c>
      <c r="X784" s="452">
        <f t="shared" si="253"/>
        <v>2.5000000000000001E-2</v>
      </c>
      <c r="Y784" s="452">
        <f t="shared" si="253"/>
        <v>2.5000000000000001E-2</v>
      </c>
      <c r="Z784" s="452">
        <f t="shared" si="253"/>
        <v>2.5000000000000001E-2</v>
      </c>
      <c r="AA784" s="452">
        <f t="shared" si="253"/>
        <v>2.5000000000000001E-2</v>
      </c>
      <c r="AB784" s="452">
        <f t="shared" si="253"/>
        <v>2.5000000000000001E-2</v>
      </c>
      <c r="AC784" s="452">
        <f t="shared" si="253"/>
        <v>2.5000000000000001E-2</v>
      </c>
      <c r="AD784" s="452">
        <f t="shared" si="253"/>
        <v>2.5000000000000001E-2</v>
      </c>
      <c r="AE784" s="452">
        <f t="shared" si="253"/>
        <v>2.5000000000000001E-2</v>
      </c>
      <c r="AF784" s="452">
        <f t="shared" si="253"/>
        <v>2.5000000000000001E-2</v>
      </c>
      <c r="AG784" s="452">
        <f t="shared" si="253"/>
        <v>2.5000000000000001E-2</v>
      </c>
      <c r="AH784" s="452">
        <f t="shared" si="253"/>
        <v>2.5000000000000001E-2</v>
      </c>
      <c r="AI784" s="452">
        <f t="shared" si="253"/>
        <v>2.5000000000000001E-2</v>
      </c>
      <c r="AJ784" s="452">
        <f t="shared" si="253"/>
        <v>2.5000000000000001E-2</v>
      </c>
      <c r="AK784" s="452">
        <f t="shared" si="253"/>
        <v>2.5000000000000001E-2</v>
      </c>
      <c r="AL784" s="452">
        <f t="shared" si="253"/>
        <v>2.5000000000000001E-2</v>
      </c>
      <c r="AM784" s="452">
        <f t="shared" si="253"/>
        <v>2.5000000000000001E-2</v>
      </c>
      <c r="AN784" s="452">
        <f t="shared" si="253"/>
        <v>2.5000000000000001E-2</v>
      </c>
      <c r="AO784" s="452">
        <f t="shared" si="253"/>
        <v>2.5000000000000001E-2</v>
      </c>
      <c r="AP784" s="452">
        <f t="shared" si="253"/>
        <v>2.5000000000000001E-2</v>
      </c>
      <c r="AQ784" s="452">
        <f t="shared" si="253"/>
        <v>2.5000000000000001E-2</v>
      </c>
      <c r="AR784" s="452">
        <f t="shared" si="253"/>
        <v>2.5000000000000001E-2</v>
      </c>
      <c r="AS784" s="452">
        <f t="shared" si="253"/>
        <v>2.5000000000000001E-2</v>
      </c>
      <c r="AT784" s="452">
        <f t="shared" si="253"/>
        <v>2.5000000000000001E-2</v>
      </c>
      <c r="AU784" s="452">
        <f t="shared" si="253"/>
        <v>2.5000000000000001E-2</v>
      </c>
      <c r="AV784" s="452">
        <f t="shared" si="253"/>
        <v>0</v>
      </c>
      <c r="AW784" s="452">
        <f t="shared" si="253"/>
        <v>0</v>
      </c>
      <c r="AX784" s="452">
        <f t="shared" si="253"/>
        <v>0</v>
      </c>
      <c r="AY784" s="452">
        <f t="shared" si="253"/>
        <v>0</v>
      </c>
      <c r="AZ784" s="452">
        <f t="shared" si="253"/>
        <v>0</v>
      </c>
      <c r="BA784" s="452">
        <f t="shared" si="253"/>
        <v>0</v>
      </c>
      <c r="BB784" s="452">
        <f t="shared" si="253"/>
        <v>0</v>
      </c>
      <c r="BC784" s="452">
        <f t="shared" si="253"/>
        <v>0</v>
      </c>
      <c r="BD784" s="452">
        <f t="shared" si="253"/>
        <v>0</v>
      </c>
      <c r="BE784" s="453">
        <f t="shared" si="253"/>
        <v>0</v>
      </c>
    </row>
    <row r="785" spans="1:57" x14ac:dyDescent="0.25">
      <c r="B785" s="444"/>
      <c r="C785" s="445" t="s">
        <v>60</v>
      </c>
      <c r="D785" s="445"/>
      <c r="E785" s="445"/>
      <c r="F785" s="445"/>
      <c r="G785" s="454"/>
      <c r="H785" s="455">
        <v>0</v>
      </c>
      <c r="I785" s="455">
        <v>0</v>
      </c>
      <c r="J785" s="455">
        <v>0</v>
      </c>
      <c r="K785" s="455">
        <v>0</v>
      </c>
      <c r="L785" s="455">
        <v>0</v>
      </c>
      <c r="M785" s="455">
        <v>0</v>
      </c>
      <c r="N785" s="455">
        <v>0</v>
      </c>
      <c r="O785" s="455">
        <v>0</v>
      </c>
      <c r="P785" s="455">
        <v>0</v>
      </c>
      <c r="Q785" s="455">
        <v>0</v>
      </c>
      <c r="R785" s="455">
        <v>0</v>
      </c>
      <c r="S785" s="455">
        <v>0</v>
      </c>
      <c r="T785" s="455">
        <v>0</v>
      </c>
      <c r="U785" s="455">
        <v>0</v>
      </c>
      <c r="V785" s="455">
        <v>0</v>
      </c>
      <c r="W785" s="455">
        <v>0</v>
      </c>
      <c r="X785" s="455">
        <v>0</v>
      </c>
      <c r="Y785" s="455">
        <v>0</v>
      </c>
      <c r="Z785" s="455">
        <v>0</v>
      </c>
      <c r="AA785" s="455">
        <v>0</v>
      </c>
      <c r="AB785" s="455">
        <v>0</v>
      </c>
      <c r="AC785" s="455">
        <v>0</v>
      </c>
      <c r="AD785" s="455">
        <v>0</v>
      </c>
      <c r="AE785" s="455">
        <v>0</v>
      </c>
      <c r="AF785" s="455">
        <v>0</v>
      </c>
      <c r="AG785" s="455">
        <v>0</v>
      </c>
      <c r="AH785" s="455">
        <v>0</v>
      </c>
      <c r="AI785" s="455">
        <v>0</v>
      </c>
      <c r="AJ785" s="455">
        <v>0</v>
      </c>
      <c r="AK785" s="455">
        <v>0</v>
      </c>
      <c r="AL785" s="455">
        <v>0</v>
      </c>
      <c r="AM785" s="455">
        <v>0</v>
      </c>
      <c r="AN785" s="455">
        <v>0</v>
      </c>
      <c r="AO785" s="455">
        <v>0</v>
      </c>
      <c r="AP785" s="455">
        <v>0</v>
      </c>
      <c r="AQ785" s="455">
        <v>0</v>
      </c>
      <c r="AR785" s="455">
        <v>0</v>
      </c>
      <c r="AS785" s="455">
        <v>0</v>
      </c>
      <c r="AT785" s="455">
        <v>0</v>
      </c>
      <c r="AU785" s="455">
        <v>0</v>
      </c>
      <c r="AV785" s="455">
        <v>0</v>
      </c>
      <c r="AW785" s="455">
        <v>0</v>
      </c>
      <c r="AX785" s="455">
        <v>0</v>
      </c>
      <c r="AY785" s="455">
        <v>0</v>
      </c>
      <c r="AZ785" s="455">
        <v>0</v>
      </c>
      <c r="BA785" s="455">
        <v>0</v>
      </c>
      <c r="BB785" s="455">
        <v>0</v>
      </c>
      <c r="BC785" s="455">
        <v>0</v>
      </c>
      <c r="BD785" s="455">
        <v>0</v>
      </c>
      <c r="BE785" s="456">
        <v>0</v>
      </c>
    </row>
    <row r="786" spans="1:57" x14ac:dyDescent="0.25">
      <c r="B786" s="444"/>
      <c r="C786" s="445"/>
      <c r="D786" s="445"/>
      <c r="E786" s="445"/>
      <c r="F786" s="445"/>
      <c r="G786" s="445"/>
      <c r="H786" s="446"/>
      <c r="I786" s="446"/>
      <c r="J786" s="446"/>
      <c r="K786" s="446"/>
      <c r="L786" s="446"/>
      <c r="M786" s="446"/>
      <c r="N786" s="446"/>
      <c r="O786" s="446"/>
      <c r="P786" s="446"/>
      <c r="Q786" s="446"/>
      <c r="R786" s="446"/>
      <c r="S786" s="446"/>
      <c r="T786" s="446"/>
      <c r="U786" s="446"/>
      <c r="V786" s="446"/>
      <c r="W786" s="446"/>
      <c r="X786" s="446"/>
      <c r="Y786" s="446"/>
      <c r="Z786" s="446"/>
      <c r="AA786" s="446"/>
      <c r="AB786" s="446"/>
      <c r="AC786" s="446"/>
      <c r="AD786" s="446"/>
      <c r="AE786" s="446"/>
      <c r="AF786" s="446"/>
      <c r="AG786" s="446"/>
      <c r="AH786" s="446"/>
      <c r="AI786" s="446"/>
      <c r="AJ786" s="446"/>
      <c r="AK786" s="446"/>
      <c r="AL786" s="446"/>
      <c r="AM786" s="446"/>
      <c r="AN786" s="446"/>
      <c r="AO786" s="446"/>
      <c r="AP786" s="446"/>
      <c r="AQ786" s="446"/>
      <c r="AR786" s="446"/>
      <c r="AS786" s="446"/>
      <c r="AT786" s="446"/>
      <c r="AU786" s="446"/>
      <c r="AV786" s="446"/>
      <c r="AW786" s="446"/>
      <c r="AX786" s="446"/>
      <c r="AY786" s="446"/>
      <c r="AZ786" s="446"/>
      <c r="BA786" s="446"/>
      <c r="BB786" s="446"/>
      <c r="BC786" s="446"/>
      <c r="BD786" s="446"/>
      <c r="BE786" s="447"/>
    </row>
    <row r="787" spans="1:57" x14ac:dyDescent="0.25">
      <c r="B787" s="444"/>
      <c r="C787" s="445"/>
      <c r="D787" s="445"/>
      <c r="E787" s="445"/>
      <c r="F787" s="457" t="s">
        <v>61</v>
      </c>
      <c r="G787" s="457" t="s">
        <v>62</v>
      </c>
      <c r="H787" s="445"/>
      <c r="I787" s="445"/>
      <c r="J787" s="445"/>
      <c r="K787" s="445"/>
      <c r="L787" s="445"/>
      <c r="M787" s="445"/>
      <c r="N787" s="445"/>
      <c r="O787" s="445"/>
      <c r="P787" s="445"/>
      <c r="Q787" s="445"/>
      <c r="R787" s="445"/>
      <c r="S787" s="445"/>
      <c r="T787" s="445"/>
      <c r="U787" s="445"/>
      <c r="V787" s="445"/>
      <c r="W787" s="445"/>
      <c r="X787" s="445"/>
      <c r="Y787" s="445"/>
      <c r="Z787" s="445"/>
      <c r="AA787" s="445"/>
      <c r="AB787" s="445"/>
      <c r="AC787" s="445"/>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5"/>
      <c r="AY787" s="445"/>
      <c r="AZ787" s="445"/>
      <c r="BA787" s="445"/>
      <c r="BB787" s="445"/>
      <c r="BC787" s="445"/>
      <c r="BD787" s="445"/>
      <c r="BE787" s="458"/>
    </row>
    <row r="788" spans="1:57" x14ac:dyDescent="0.25">
      <c r="B788" s="444"/>
      <c r="C788" s="445" t="s">
        <v>57</v>
      </c>
      <c r="D788" s="445"/>
      <c r="E788" s="445"/>
      <c r="F788" s="455">
        <f>'II. Inputs, Baseline Energy Mix'!$P$109</f>
        <v>1</v>
      </c>
      <c r="G788" s="446">
        <f>IF('II. Inputs, Baseline Energy Mix'!$O$15&gt;0, F788*'II. Inputs, Baseline Energy Mix'!$O$16*'II. Inputs, Baseline Energy Mix'!$O$17,0)</f>
        <v>0</v>
      </c>
      <c r="H788" s="446">
        <f>$G$788*H784</f>
        <v>0</v>
      </c>
      <c r="I788" s="446">
        <f t="shared" ref="I788:BE788" si="254">$G$788*I784</f>
        <v>0</v>
      </c>
      <c r="J788" s="446">
        <f t="shared" si="254"/>
        <v>0</v>
      </c>
      <c r="K788" s="446">
        <f t="shared" si="254"/>
        <v>0</v>
      </c>
      <c r="L788" s="446">
        <f t="shared" si="254"/>
        <v>0</v>
      </c>
      <c r="M788" s="446">
        <f t="shared" si="254"/>
        <v>0</v>
      </c>
      <c r="N788" s="446">
        <f t="shared" si="254"/>
        <v>0</v>
      </c>
      <c r="O788" s="446">
        <f t="shared" si="254"/>
        <v>0</v>
      </c>
      <c r="P788" s="446">
        <f t="shared" si="254"/>
        <v>0</v>
      </c>
      <c r="Q788" s="446">
        <f t="shared" si="254"/>
        <v>0</v>
      </c>
      <c r="R788" s="446">
        <f t="shared" si="254"/>
        <v>0</v>
      </c>
      <c r="S788" s="446">
        <f t="shared" si="254"/>
        <v>0</v>
      </c>
      <c r="T788" s="446">
        <f t="shared" si="254"/>
        <v>0</v>
      </c>
      <c r="U788" s="446">
        <f t="shared" si="254"/>
        <v>0</v>
      </c>
      <c r="V788" s="446">
        <f t="shared" si="254"/>
        <v>0</v>
      </c>
      <c r="W788" s="446">
        <f t="shared" si="254"/>
        <v>0</v>
      </c>
      <c r="X788" s="446">
        <f t="shared" si="254"/>
        <v>0</v>
      </c>
      <c r="Y788" s="446">
        <f t="shared" si="254"/>
        <v>0</v>
      </c>
      <c r="Z788" s="446">
        <f t="shared" si="254"/>
        <v>0</v>
      </c>
      <c r="AA788" s="446">
        <f t="shared" si="254"/>
        <v>0</v>
      </c>
      <c r="AB788" s="446">
        <f t="shared" si="254"/>
        <v>0</v>
      </c>
      <c r="AC788" s="446">
        <f t="shared" si="254"/>
        <v>0</v>
      </c>
      <c r="AD788" s="446">
        <f t="shared" si="254"/>
        <v>0</v>
      </c>
      <c r="AE788" s="446">
        <f t="shared" si="254"/>
        <v>0</v>
      </c>
      <c r="AF788" s="446">
        <f t="shared" si="254"/>
        <v>0</v>
      </c>
      <c r="AG788" s="446">
        <f t="shared" si="254"/>
        <v>0</v>
      </c>
      <c r="AH788" s="446">
        <f t="shared" si="254"/>
        <v>0</v>
      </c>
      <c r="AI788" s="446">
        <f t="shared" si="254"/>
        <v>0</v>
      </c>
      <c r="AJ788" s="446">
        <f t="shared" si="254"/>
        <v>0</v>
      </c>
      <c r="AK788" s="446">
        <f t="shared" si="254"/>
        <v>0</v>
      </c>
      <c r="AL788" s="446">
        <f t="shared" si="254"/>
        <v>0</v>
      </c>
      <c r="AM788" s="446">
        <f t="shared" si="254"/>
        <v>0</v>
      </c>
      <c r="AN788" s="446">
        <f t="shared" si="254"/>
        <v>0</v>
      </c>
      <c r="AO788" s="446">
        <f t="shared" si="254"/>
        <v>0</v>
      </c>
      <c r="AP788" s="446">
        <f t="shared" si="254"/>
        <v>0</v>
      </c>
      <c r="AQ788" s="446">
        <f t="shared" si="254"/>
        <v>0</v>
      </c>
      <c r="AR788" s="446">
        <f t="shared" si="254"/>
        <v>0</v>
      </c>
      <c r="AS788" s="446">
        <f t="shared" si="254"/>
        <v>0</v>
      </c>
      <c r="AT788" s="446">
        <f t="shared" si="254"/>
        <v>0</v>
      </c>
      <c r="AU788" s="446">
        <f t="shared" si="254"/>
        <v>0</v>
      </c>
      <c r="AV788" s="446">
        <f t="shared" si="254"/>
        <v>0</v>
      </c>
      <c r="AW788" s="446">
        <f t="shared" si="254"/>
        <v>0</v>
      </c>
      <c r="AX788" s="446">
        <f t="shared" si="254"/>
        <v>0</v>
      </c>
      <c r="AY788" s="446">
        <f t="shared" si="254"/>
        <v>0</v>
      </c>
      <c r="AZ788" s="446">
        <f t="shared" si="254"/>
        <v>0</v>
      </c>
      <c r="BA788" s="446">
        <f t="shared" si="254"/>
        <v>0</v>
      </c>
      <c r="BB788" s="446">
        <f t="shared" si="254"/>
        <v>0</v>
      </c>
      <c r="BC788" s="446">
        <f t="shared" si="254"/>
        <v>0</v>
      </c>
      <c r="BD788" s="446">
        <f t="shared" si="254"/>
        <v>0</v>
      </c>
      <c r="BE788" s="447">
        <f t="shared" si="254"/>
        <v>0</v>
      </c>
    </row>
    <row r="789" spans="1:57" x14ac:dyDescent="0.25">
      <c r="B789" s="444"/>
      <c r="C789" s="459" t="s">
        <v>18</v>
      </c>
      <c r="D789" s="459"/>
      <c r="E789" s="459"/>
      <c r="F789" s="460">
        <f>'II. Inputs, Baseline Energy Mix'!$P$110</f>
        <v>0</v>
      </c>
      <c r="G789" s="1341">
        <f>IF('II. Inputs, Baseline Energy Mix'!$O$15&gt;0, F789*'II. Inputs, Baseline Energy Mix'!$O$16*'II. Inputs, Baseline Energy Mix'!$O$17,0)</f>
        <v>0</v>
      </c>
      <c r="H789" s="1341">
        <f>$G$789*H785</f>
        <v>0</v>
      </c>
      <c r="I789" s="1341">
        <f t="shared" ref="I789:BE789" si="255">$G$789*I785</f>
        <v>0</v>
      </c>
      <c r="J789" s="1341">
        <f t="shared" si="255"/>
        <v>0</v>
      </c>
      <c r="K789" s="1341">
        <f t="shared" si="255"/>
        <v>0</v>
      </c>
      <c r="L789" s="1341">
        <f t="shared" si="255"/>
        <v>0</v>
      </c>
      <c r="M789" s="1341">
        <f t="shared" si="255"/>
        <v>0</v>
      </c>
      <c r="N789" s="1341">
        <f t="shared" si="255"/>
        <v>0</v>
      </c>
      <c r="O789" s="1341">
        <f t="shared" si="255"/>
        <v>0</v>
      </c>
      <c r="P789" s="1341">
        <f t="shared" si="255"/>
        <v>0</v>
      </c>
      <c r="Q789" s="1341">
        <f t="shared" si="255"/>
        <v>0</v>
      </c>
      <c r="R789" s="1341">
        <f t="shared" si="255"/>
        <v>0</v>
      </c>
      <c r="S789" s="1341">
        <f t="shared" si="255"/>
        <v>0</v>
      </c>
      <c r="T789" s="1341">
        <f t="shared" si="255"/>
        <v>0</v>
      </c>
      <c r="U789" s="1341">
        <f t="shared" si="255"/>
        <v>0</v>
      </c>
      <c r="V789" s="1341">
        <f t="shared" si="255"/>
        <v>0</v>
      </c>
      <c r="W789" s="1341">
        <f t="shared" si="255"/>
        <v>0</v>
      </c>
      <c r="X789" s="1341">
        <f t="shared" si="255"/>
        <v>0</v>
      </c>
      <c r="Y789" s="1341">
        <f t="shared" si="255"/>
        <v>0</v>
      </c>
      <c r="Z789" s="1341">
        <f t="shared" si="255"/>
        <v>0</v>
      </c>
      <c r="AA789" s="1341">
        <f t="shared" si="255"/>
        <v>0</v>
      </c>
      <c r="AB789" s="1341">
        <f t="shared" si="255"/>
        <v>0</v>
      </c>
      <c r="AC789" s="1341">
        <f t="shared" si="255"/>
        <v>0</v>
      </c>
      <c r="AD789" s="1341">
        <f t="shared" si="255"/>
        <v>0</v>
      </c>
      <c r="AE789" s="1341">
        <f t="shared" si="255"/>
        <v>0</v>
      </c>
      <c r="AF789" s="1341">
        <f t="shared" si="255"/>
        <v>0</v>
      </c>
      <c r="AG789" s="1341">
        <f t="shared" si="255"/>
        <v>0</v>
      </c>
      <c r="AH789" s="1341">
        <f t="shared" si="255"/>
        <v>0</v>
      </c>
      <c r="AI789" s="1341">
        <f t="shared" si="255"/>
        <v>0</v>
      </c>
      <c r="AJ789" s="1341">
        <f t="shared" si="255"/>
        <v>0</v>
      </c>
      <c r="AK789" s="1341">
        <f t="shared" si="255"/>
        <v>0</v>
      </c>
      <c r="AL789" s="1341">
        <f t="shared" si="255"/>
        <v>0</v>
      </c>
      <c r="AM789" s="1341">
        <f t="shared" si="255"/>
        <v>0</v>
      </c>
      <c r="AN789" s="1341">
        <f t="shared" si="255"/>
        <v>0</v>
      </c>
      <c r="AO789" s="1341">
        <f t="shared" si="255"/>
        <v>0</v>
      </c>
      <c r="AP789" s="1341">
        <f t="shared" si="255"/>
        <v>0</v>
      </c>
      <c r="AQ789" s="1341">
        <f t="shared" si="255"/>
        <v>0</v>
      </c>
      <c r="AR789" s="1341">
        <f t="shared" si="255"/>
        <v>0</v>
      </c>
      <c r="AS789" s="1341">
        <f t="shared" si="255"/>
        <v>0</v>
      </c>
      <c r="AT789" s="1341">
        <f t="shared" si="255"/>
        <v>0</v>
      </c>
      <c r="AU789" s="1341">
        <f t="shared" si="255"/>
        <v>0</v>
      </c>
      <c r="AV789" s="1341">
        <f t="shared" si="255"/>
        <v>0</v>
      </c>
      <c r="AW789" s="1341">
        <f t="shared" si="255"/>
        <v>0</v>
      </c>
      <c r="AX789" s="1341">
        <f t="shared" si="255"/>
        <v>0</v>
      </c>
      <c r="AY789" s="1341">
        <f t="shared" si="255"/>
        <v>0</v>
      </c>
      <c r="AZ789" s="1341">
        <f t="shared" si="255"/>
        <v>0</v>
      </c>
      <c r="BA789" s="1341">
        <f t="shared" si="255"/>
        <v>0</v>
      </c>
      <c r="BB789" s="1341">
        <f t="shared" si="255"/>
        <v>0</v>
      </c>
      <c r="BC789" s="1341">
        <f t="shared" si="255"/>
        <v>0</v>
      </c>
      <c r="BD789" s="1341">
        <f t="shared" si="255"/>
        <v>0</v>
      </c>
      <c r="BE789" s="1342">
        <f t="shared" si="255"/>
        <v>0</v>
      </c>
    </row>
    <row r="790" spans="1:57" x14ac:dyDescent="0.25">
      <c r="B790" s="444"/>
      <c r="C790" s="445" t="s">
        <v>63</v>
      </c>
      <c r="D790" s="445"/>
      <c r="E790" s="445"/>
      <c r="F790" s="445"/>
      <c r="G790" s="446">
        <f>G788+G789</f>
        <v>0</v>
      </c>
      <c r="H790" s="446">
        <f>H788+H789</f>
        <v>0</v>
      </c>
      <c r="I790" s="446">
        <f t="shared" ref="I790:BE790" si="256">I788+I789</f>
        <v>0</v>
      </c>
      <c r="J790" s="446">
        <f t="shared" si="256"/>
        <v>0</v>
      </c>
      <c r="K790" s="446">
        <f t="shared" si="256"/>
        <v>0</v>
      </c>
      <c r="L790" s="446">
        <f t="shared" si="256"/>
        <v>0</v>
      </c>
      <c r="M790" s="446">
        <f t="shared" si="256"/>
        <v>0</v>
      </c>
      <c r="N790" s="446">
        <f t="shared" si="256"/>
        <v>0</v>
      </c>
      <c r="O790" s="446">
        <f t="shared" si="256"/>
        <v>0</v>
      </c>
      <c r="P790" s="446">
        <f t="shared" si="256"/>
        <v>0</v>
      </c>
      <c r="Q790" s="446">
        <f t="shared" si="256"/>
        <v>0</v>
      </c>
      <c r="R790" s="446">
        <f t="shared" si="256"/>
        <v>0</v>
      </c>
      <c r="S790" s="446">
        <f t="shared" si="256"/>
        <v>0</v>
      </c>
      <c r="T790" s="446">
        <f t="shared" si="256"/>
        <v>0</v>
      </c>
      <c r="U790" s="446">
        <f t="shared" si="256"/>
        <v>0</v>
      </c>
      <c r="V790" s="446">
        <f t="shared" si="256"/>
        <v>0</v>
      </c>
      <c r="W790" s="446">
        <f t="shared" si="256"/>
        <v>0</v>
      </c>
      <c r="X790" s="446">
        <f t="shared" si="256"/>
        <v>0</v>
      </c>
      <c r="Y790" s="446">
        <f t="shared" si="256"/>
        <v>0</v>
      </c>
      <c r="Z790" s="446">
        <f t="shared" si="256"/>
        <v>0</v>
      </c>
      <c r="AA790" s="446">
        <f t="shared" si="256"/>
        <v>0</v>
      </c>
      <c r="AB790" s="446">
        <f t="shared" si="256"/>
        <v>0</v>
      </c>
      <c r="AC790" s="446">
        <f t="shared" si="256"/>
        <v>0</v>
      </c>
      <c r="AD790" s="446">
        <f t="shared" si="256"/>
        <v>0</v>
      </c>
      <c r="AE790" s="446">
        <f t="shared" si="256"/>
        <v>0</v>
      </c>
      <c r="AF790" s="446">
        <f t="shared" si="256"/>
        <v>0</v>
      </c>
      <c r="AG790" s="446">
        <f t="shared" si="256"/>
        <v>0</v>
      </c>
      <c r="AH790" s="446">
        <f t="shared" si="256"/>
        <v>0</v>
      </c>
      <c r="AI790" s="446">
        <f t="shared" si="256"/>
        <v>0</v>
      </c>
      <c r="AJ790" s="446">
        <f t="shared" si="256"/>
        <v>0</v>
      </c>
      <c r="AK790" s="446">
        <f t="shared" si="256"/>
        <v>0</v>
      </c>
      <c r="AL790" s="446">
        <f t="shared" si="256"/>
        <v>0</v>
      </c>
      <c r="AM790" s="446">
        <f t="shared" si="256"/>
        <v>0</v>
      </c>
      <c r="AN790" s="446">
        <f t="shared" si="256"/>
        <v>0</v>
      </c>
      <c r="AO790" s="446">
        <f t="shared" si="256"/>
        <v>0</v>
      </c>
      <c r="AP790" s="446">
        <f t="shared" si="256"/>
        <v>0</v>
      </c>
      <c r="AQ790" s="446">
        <f t="shared" si="256"/>
        <v>0</v>
      </c>
      <c r="AR790" s="446">
        <f t="shared" si="256"/>
        <v>0</v>
      </c>
      <c r="AS790" s="446">
        <f t="shared" si="256"/>
        <v>0</v>
      </c>
      <c r="AT790" s="446">
        <f t="shared" si="256"/>
        <v>0</v>
      </c>
      <c r="AU790" s="446">
        <f t="shared" si="256"/>
        <v>0</v>
      </c>
      <c r="AV790" s="446">
        <f t="shared" si="256"/>
        <v>0</v>
      </c>
      <c r="AW790" s="446">
        <f t="shared" si="256"/>
        <v>0</v>
      </c>
      <c r="AX790" s="446">
        <f t="shared" si="256"/>
        <v>0</v>
      </c>
      <c r="AY790" s="446">
        <f t="shared" si="256"/>
        <v>0</v>
      </c>
      <c r="AZ790" s="446">
        <f t="shared" si="256"/>
        <v>0</v>
      </c>
      <c r="BA790" s="446">
        <f t="shared" si="256"/>
        <v>0</v>
      </c>
      <c r="BB790" s="446">
        <f t="shared" si="256"/>
        <v>0</v>
      </c>
      <c r="BC790" s="446">
        <f t="shared" si="256"/>
        <v>0</v>
      </c>
      <c r="BD790" s="446">
        <f t="shared" si="256"/>
        <v>0</v>
      </c>
      <c r="BE790" s="447">
        <f t="shared" si="256"/>
        <v>0</v>
      </c>
    </row>
    <row r="791" spans="1:57" x14ac:dyDescent="0.25">
      <c r="A791" s="461"/>
      <c r="B791" s="444"/>
      <c r="C791" s="445"/>
      <c r="D791" s="445"/>
      <c r="E791" s="445"/>
      <c r="F791" s="445"/>
      <c r="G791" s="445"/>
      <c r="H791" s="445"/>
      <c r="I791" s="445"/>
      <c r="J791" s="445"/>
      <c r="K791" s="445"/>
      <c r="L791" s="445"/>
      <c r="M791" s="445"/>
      <c r="N791" s="445"/>
      <c r="O791" s="445"/>
      <c r="P791" s="445"/>
      <c r="Q791" s="445"/>
      <c r="R791" s="445"/>
      <c r="S791" s="445"/>
      <c r="T791" s="445"/>
      <c r="U791" s="445"/>
      <c r="V791" s="445"/>
      <c r="W791" s="445"/>
      <c r="X791" s="445"/>
      <c r="Y791" s="445"/>
      <c r="Z791" s="445"/>
      <c r="AA791" s="445"/>
      <c r="AB791" s="445"/>
      <c r="AC791" s="445"/>
      <c r="AD791" s="445"/>
      <c r="AE791" s="445"/>
      <c r="AF791" s="445"/>
      <c r="AG791" s="445"/>
      <c r="AH791" s="445"/>
      <c r="AI791" s="445"/>
      <c r="AJ791" s="445"/>
      <c r="AK791" s="445"/>
      <c r="AL791" s="445"/>
      <c r="AM791" s="445"/>
      <c r="AN791" s="445"/>
      <c r="AO791" s="445"/>
      <c r="AP791" s="445"/>
      <c r="AQ791" s="445"/>
      <c r="AR791" s="445"/>
      <c r="AS791" s="445"/>
      <c r="AT791" s="445"/>
      <c r="AU791" s="445"/>
      <c r="AV791" s="445"/>
      <c r="AW791" s="445"/>
      <c r="AX791" s="445"/>
      <c r="AY791" s="445"/>
      <c r="AZ791" s="445"/>
      <c r="BA791" s="445"/>
      <c r="BB791" s="445"/>
      <c r="BC791" s="445"/>
      <c r="BD791" s="445"/>
      <c r="BE791" s="458"/>
    </row>
    <row r="792" spans="1:57" x14ac:dyDescent="0.25">
      <c r="B792" s="462"/>
      <c r="C792" s="459"/>
      <c r="D792" s="459"/>
      <c r="E792" s="459"/>
      <c r="F792" s="459"/>
      <c r="G792" s="459"/>
      <c r="H792" s="459"/>
      <c r="I792" s="459"/>
      <c r="J792" s="459"/>
      <c r="K792" s="459"/>
      <c r="L792" s="459"/>
      <c r="M792" s="459"/>
      <c r="N792" s="459"/>
      <c r="O792" s="459"/>
      <c r="P792" s="459"/>
      <c r="Q792" s="459"/>
      <c r="R792" s="459"/>
      <c r="S792" s="459"/>
      <c r="T792" s="459"/>
      <c r="U792" s="459"/>
      <c r="V792" s="459"/>
      <c r="W792" s="459"/>
      <c r="X792" s="459"/>
      <c r="Y792" s="459"/>
      <c r="Z792" s="459"/>
      <c r="AA792" s="459"/>
      <c r="AB792" s="459"/>
      <c r="AC792" s="459"/>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59"/>
      <c r="AY792" s="459"/>
      <c r="AZ792" s="459"/>
      <c r="BA792" s="459"/>
      <c r="BB792" s="459"/>
      <c r="BC792" s="459"/>
      <c r="BD792" s="459"/>
      <c r="BE792" s="463"/>
    </row>
    <row r="793" spans="1:57" x14ac:dyDescent="0.25"/>
    <row r="794" spans="1:57" x14ac:dyDescent="0.25">
      <c r="B794" s="464"/>
      <c r="C794" s="465" t="str">
        <f>'II. Inputs, Baseline Energy Mix'!P14</f>
        <v>Hydro</v>
      </c>
      <c r="D794" s="466"/>
      <c r="E794" s="466"/>
      <c r="F794" s="466"/>
      <c r="G794" s="466"/>
      <c r="H794" s="466"/>
      <c r="I794" s="466"/>
      <c r="J794" s="466"/>
      <c r="K794" s="466"/>
      <c r="L794" s="466"/>
      <c r="M794" s="466"/>
      <c r="N794" s="466"/>
      <c r="O794" s="466"/>
      <c r="P794" s="466"/>
      <c r="Q794" s="466"/>
      <c r="R794" s="466"/>
      <c r="S794" s="466"/>
      <c r="T794" s="466"/>
      <c r="U794" s="466"/>
      <c r="V794" s="466"/>
      <c r="W794" s="466"/>
      <c r="X794" s="466"/>
      <c r="Y794" s="466"/>
      <c r="Z794" s="466"/>
      <c r="AA794" s="466"/>
      <c r="AB794" s="466"/>
      <c r="AC794" s="466"/>
      <c r="AD794" s="466"/>
      <c r="AE794" s="466"/>
      <c r="AF794" s="466"/>
      <c r="AG794" s="466"/>
      <c r="AH794" s="466"/>
      <c r="AI794" s="466"/>
      <c r="AJ794" s="466"/>
      <c r="AK794" s="466"/>
      <c r="AL794" s="466"/>
      <c r="AM794" s="466"/>
      <c r="AN794" s="466"/>
      <c r="AO794" s="466"/>
      <c r="AP794" s="466"/>
      <c r="AQ794" s="466"/>
      <c r="AR794" s="466"/>
      <c r="AS794" s="466"/>
      <c r="AT794" s="466"/>
      <c r="AU794" s="466"/>
      <c r="AV794" s="466"/>
      <c r="AW794" s="466"/>
      <c r="AX794" s="466"/>
      <c r="AY794" s="466"/>
      <c r="AZ794" s="466"/>
      <c r="BA794" s="466"/>
      <c r="BB794" s="466"/>
      <c r="BC794" s="466"/>
      <c r="BD794" s="466"/>
      <c r="BE794" s="467"/>
    </row>
    <row r="795" spans="1:57" x14ac:dyDescent="0.25">
      <c r="B795" s="468"/>
      <c r="C795" s="469"/>
      <c r="D795" s="469"/>
      <c r="E795" s="469"/>
      <c r="F795" s="469"/>
      <c r="G795" s="469"/>
      <c r="H795" s="469"/>
      <c r="I795" s="469"/>
      <c r="J795" s="469"/>
      <c r="K795" s="469"/>
      <c r="L795" s="469"/>
      <c r="M795" s="469"/>
      <c r="N795" s="469"/>
      <c r="O795" s="469"/>
      <c r="P795" s="469"/>
      <c r="Q795" s="469"/>
      <c r="R795" s="469"/>
      <c r="S795" s="469"/>
      <c r="T795" s="469"/>
      <c r="U795" s="469"/>
      <c r="V795" s="469"/>
      <c r="W795" s="469"/>
      <c r="X795" s="469"/>
      <c r="Y795" s="469"/>
      <c r="Z795" s="469"/>
      <c r="AA795" s="469"/>
      <c r="AB795" s="469"/>
      <c r="AC795" s="469"/>
      <c r="AD795" s="469"/>
      <c r="AE795" s="469"/>
      <c r="AF795" s="469"/>
      <c r="AG795" s="469"/>
      <c r="AH795" s="469"/>
      <c r="AI795" s="469"/>
      <c r="AJ795" s="469"/>
      <c r="AK795" s="469"/>
      <c r="AL795" s="469"/>
      <c r="AM795" s="469"/>
      <c r="AN795" s="469"/>
      <c r="AO795" s="469"/>
      <c r="AP795" s="469"/>
      <c r="AQ795" s="469"/>
      <c r="AR795" s="469"/>
      <c r="AS795" s="469"/>
      <c r="AT795" s="469"/>
      <c r="AU795" s="469"/>
      <c r="AV795" s="469"/>
      <c r="AW795" s="469"/>
      <c r="AX795" s="469"/>
      <c r="AY795" s="469"/>
      <c r="AZ795" s="469"/>
      <c r="BA795" s="469"/>
      <c r="BB795" s="469"/>
      <c r="BC795" s="469"/>
      <c r="BD795" s="469"/>
      <c r="BE795" s="470"/>
    </row>
    <row r="796" spans="1:57" x14ac:dyDescent="0.25">
      <c r="B796" s="468"/>
      <c r="C796" s="471" t="s">
        <v>64</v>
      </c>
      <c r="D796" s="472">
        <f>'II. Inputs, Baseline Energy Mix'!$P$18</f>
        <v>50</v>
      </c>
      <c r="E796" s="473" t="s">
        <v>20</v>
      </c>
      <c r="F796" s="469"/>
      <c r="G796" s="469"/>
      <c r="H796" s="469"/>
      <c r="I796" s="469"/>
      <c r="J796" s="469"/>
      <c r="K796" s="469"/>
      <c r="L796" s="469"/>
      <c r="M796" s="469"/>
      <c r="N796" s="469"/>
      <c r="O796" s="469"/>
      <c r="P796" s="469"/>
      <c r="Q796" s="469"/>
      <c r="R796" s="469"/>
      <c r="S796" s="469"/>
      <c r="T796" s="469"/>
      <c r="U796" s="469"/>
      <c r="V796" s="469"/>
      <c r="W796" s="469"/>
      <c r="X796" s="469"/>
      <c r="Y796" s="469"/>
      <c r="Z796" s="469"/>
      <c r="AA796" s="469"/>
      <c r="AB796" s="469"/>
      <c r="AC796" s="469"/>
      <c r="AD796" s="469"/>
      <c r="AE796" s="469"/>
      <c r="AF796" s="469"/>
      <c r="AG796" s="469"/>
      <c r="AH796" s="469"/>
      <c r="AI796" s="469"/>
      <c r="AJ796" s="469"/>
      <c r="AK796" s="469"/>
      <c r="AL796" s="469"/>
      <c r="AM796" s="469"/>
      <c r="AN796" s="469"/>
      <c r="AO796" s="469"/>
      <c r="AP796" s="469"/>
      <c r="AQ796" s="469"/>
      <c r="AR796" s="469"/>
      <c r="AS796" s="469"/>
      <c r="AT796" s="469"/>
      <c r="AU796" s="469"/>
      <c r="AV796" s="469"/>
      <c r="AW796" s="469"/>
      <c r="AX796" s="469"/>
      <c r="AY796" s="469"/>
      <c r="AZ796" s="469"/>
      <c r="BA796" s="469"/>
      <c r="BB796" s="469"/>
      <c r="BC796" s="469"/>
      <c r="BD796" s="469"/>
      <c r="BE796" s="470"/>
    </row>
    <row r="797" spans="1:57" x14ac:dyDescent="0.25">
      <c r="B797" s="468"/>
      <c r="C797" s="469"/>
      <c r="D797" s="469"/>
      <c r="E797" s="469"/>
      <c r="F797" s="469"/>
      <c r="G797" s="469"/>
      <c r="H797" s="469"/>
      <c r="I797" s="469"/>
      <c r="J797" s="469"/>
      <c r="K797" s="469"/>
      <c r="L797" s="469"/>
      <c r="M797" s="469"/>
      <c r="N797" s="469"/>
      <c r="O797" s="469"/>
      <c r="P797" s="469"/>
      <c r="Q797" s="469"/>
      <c r="R797" s="469"/>
      <c r="S797" s="469"/>
      <c r="T797" s="469"/>
      <c r="U797" s="469"/>
      <c r="V797" s="469"/>
      <c r="W797" s="469"/>
      <c r="X797" s="469"/>
      <c r="Y797" s="469"/>
      <c r="Z797" s="469"/>
      <c r="AA797" s="469"/>
      <c r="AB797" s="469"/>
      <c r="AC797" s="469"/>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469"/>
      <c r="AY797" s="469"/>
      <c r="AZ797" s="469"/>
      <c r="BA797" s="469"/>
      <c r="BB797" s="469"/>
      <c r="BC797" s="469"/>
      <c r="BD797" s="469"/>
      <c r="BE797" s="470"/>
    </row>
    <row r="798" spans="1:57" x14ac:dyDescent="0.25">
      <c r="B798" s="468"/>
      <c r="C798" s="469" t="s">
        <v>59</v>
      </c>
      <c r="D798" s="469"/>
      <c r="E798" s="469"/>
      <c r="F798" s="469"/>
      <c r="G798" s="474"/>
      <c r="H798" s="475">
        <f>IF($H764&gt;$D$796,0,1/$D$796)</f>
        <v>0.02</v>
      </c>
      <c r="I798" s="475">
        <f t="shared" ref="I798:BE798" si="257">IF($H764&gt;$D$796,0,1/$D$796)</f>
        <v>0.02</v>
      </c>
      <c r="J798" s="475">
        <f t="shared" si="257"/>
        <v>0.02</v>
      </c>
      <c r="K798" s="475">
        <f t="shared" si="257"/>
        <v>0.02</v>
      </c>
      <c r="L798" s="475">
        <f t="shared" si="257"/>
        <v>0.02</v>
      </c>
      <c r="M798" s="475">
        <f t="shared" si="257"/>
        <v>0.02</v>
      </c>
      <c r="N798" s="475">
        <f t="shared" si="257"/>
        <v>0.02</v>
      </c>
      <c r="O798" s="475">
        <f t="shared" si="257"/>
        <v>0.02</v>
      </c>
      <c r="P798" s="475">
        <f t="shared" si="257"/>
        <v>0.02</v>
      </c>
      <c r="Q798" s="475">
        <f t="shared" si="257"/>
        <v>0.02</v>
      </c>
      <c r="R798" s="475">
        <f t="shared" si="257"/>
        <v>0.02</v>
      </c>
      <c r="S798" s="475">
        <f t="shared" si="257"/>
        <v>0.02</v>
      </c>
      <c r="T798" s="475">
        <f t="shared" si="257"/>
        <v>0.02</v>
      </c>
      <c r="U798" s="475">
        <f t="shared" si="257"/>
        <v>0.02</v>
      </c>
      <c r="V798" s="475">
        <f t="shared" si="257"/>
        <v>0.02</v>
      </c>
      <c r="W798" s="475">
        <f t="shared" si="257"/>
        <v>0.02</v>
      </c>
      <c r="X798" s="475">
        <f t="shared" si="257"/>
        <v>0.02</v>
      </c>
      <c r="Y798" s="475">
        <f t="shared" si="257"/>
        <v>0.02</v>
      </c>
      <c r="Z798" s="475">
        <f t="shared" si="257"/>
        <v>0.02</v>
      </c>
      <c r="AA798" s="475">
        <f t="shared" si="257"/>
        <v>0.02</v>
      </c>
      <c r="AB798" s="475">
        <f t="shared" si="257"/>
        <v>0.02</v>
      </c>
      <c r="AC798" s="475">
        <f t="shared" si="257"/>
        <v>0.02</v>
      </c>
      <c r="AD798" s="475">
        <f t="shared" si="257"/>
        <v>0.02</v>
      </c>
      <c r="AE798" s="475">
        <f t="shared" si="257"/>
        <v>0.02</v>
      </c>
      <c r="AF798" s="475">
        <f t="shared" si="257"/>
        <v>0.02</v>
      </c>
      <c r="AG798" s="475">
        <f t="shared" si="257"/>
        <v>0.02</v>
      </c>
      <c r="AH798" s="475">
        <f t="shared" si="257"/>
        <v>0.02</v>
      </c>
      <c r="AI798" s="475">
        <f t="shared" si="257"/>
        <v>0.02</v>
      </c>
      <c r="AJ798" s="475">
        <f t="shared" si="257"/>
        <v>0.02</v>
      </c>
      <c r="AK798" s="475">
        <f t="shared" si="257"/>
        <v>0.02</v>
      </c>
      <c r="AL798" s="475">
        <f t="shared" si="257"/>
        <v>0.02</v>
      </c>
      <c r="AM798" s="475">
        <f t="shared" si="257"/>
        <v>0.02</v>
      </c>
      <c r="AN798" s="475">
        <f t="shared" si="257"/>
        <v>0.02</v>
      </c>
      <c r="AO798" s="475">
        <f t="shared" si="257"/>
        <v>0.02</v>
      </c>
      <c r="AP798" s="475">
        <f t="shared" si="257"/>
        <v>0.02</v>
      </c>
      <c r="AQ798" s="475">
        <f t="shared" si="257"/>
        <v>0.02</v>
      </c>
      <c r="AR798" s="475">
        <f t="shared" si="257"/>
        <v>0.02</v>
      </c>
      <c r="AS798" s="475">
        <f t="shared" si="257"/>
        <v>0.02</v>
      </c>
      <c r="AT798" s="475">
        <f t="shared" si="257"/>
        <v>0.02</v>
      </c>
      <c r="AU798" s="475">
        <f t="shared" si="257"/>
        <v>0.02</v>
      </c>
      <c r="AV798" s="475">
        <f t="shared" si="257"/>
        <v>0.02</v>
      </c>
      <c r="AW798" s="475">
        <f t="shared" si="257"/>
        <v>0.02</v>
      </c>
      <c r="AX798" s="475">
        <f t="shared" si="257"/>
        <v>0.02</v>
      </c>
      <c r="AY798" s="475">
        <f t="shared" si="257"/>
        <v>0.02</v>
      </c>
      <c r="AZ798" s="475">
        <f t="shared" si="257"/>
        <v>0.02</v>
      </c>
      <c r="BA798" s="475">
        <f t="shared" si="257"/>
        <v>0.02</v>
      </c>
      <c r="BB798" s="475">
        <f t="shared" si="257"/>
        <v>0.02</v>
      </c>
      <c r="BC798" s="475">
        <f t="shared" si="257"/>
        <v>0.02</v>
      </c>
      <c r="BD798" s="475">
        <f t="shared" si="257"/>
        <v>0.02</v>
      </c>
      <c r="BE798" s="476">
        <f t="shared" si="257"/>
        <v>0.02</v>
      </c>
    </row>
    <row r="799" spans="1:57" x14ac:dyDescent="0.25">
      <c r="B799" s="468"/>
      <c r="C799" s="469" t="s">
        <v>60</v>
      </c>
      <c r="D799" s="469"/>
      <c r="E799" s="469"/>
      <c r="F799" s="469"/>
      <c r="G799" s="477"/>
      <c r="H799" s="475">
        <v>0</v>
      </c>
      <c r="I799" s="475">
        <v>0</v>
      </c>
      <c r="J799" s="475">
        <v>0</v>
      </c>
      <c r="K799" s="475">
        <v>0</v>
      </c>
      <c r="L799" s="475">
        <v>0</v>
      </c>
      <c r="M799" s="475">
        <v>0</v>
      </c>
      <c r="N799" s="475">
        <v>0</v>
      </c>
      <c r="O799" s="475">
        <v>0</v>
      </c>
      <c r="P799" s="475">
        <v>0</v>
      </c>
      <c r="Q799" s="475">
        <v>0</v>
      </c>
      <c r="R799" s="475">
        <v>0</v>
      </c>
      <c r="S799" s="475">
        <v>0</v>
      </c>
      <c r="T799" s="475">
        <v>0</v>
      </c>
      <c r="U799" s="475">
        <v>0</v>
      </c>
      <c r="V799" s="475">
        <v>0</v>
      </c>
      <c r="W799" s="475">
        <v>0</v>
      </c>
      <c r="X799" s="475">
        <v>0</v>
      </c>
      <c r="Y799" s="475">
        <v>0</v>
      </c>
      <c r="Z799" s="475">
        <v>0</v>
      </c>
      <c r="AA799" s="475">
        <v>0</v>
      </c>
      <c r="AB799" s="475">
        <v>0</v>
      </c>
      <c r="AC799" s="475">
        <v>0</v>
      </c>
      <c r="AD799" s="475">
        <v>0</v>
      </c>
      <c r="AE799" s="475">
        <v>0</v>
      </c>
      <c r="AF799" s="475">
        <v>0</v>
      </c>
      <c r="AG799" s="475">
        <v>0</v>
      </c>
      <c r="AH799" s="475">
        <v>0</v>
      </c>
      <c r="AI799" s="475">
        <v>0</v>
      </c>
      <c r="AJ799" s="475">
        <v>0</v>
      </c>
      <c r="AK799" s="475">
        <v>0</v>
      </c>
      <c r="AL799" s="475">
        <v>0</v>
      </c>
      <c r="AM799" s="475">
        <v>0</v>
      </c>
      <c r="AN799" s="475">
        <v>0</v>
      </c>
      <c r="AO799" s="475">
        <v>0</v>
      </c>
      <c r="AP799" s="475">
        <v>0</v>
      </c>
      <c r="AQ799" s="475">
        <v>0</v>
      </c>
      <c r="AR799" s="475">
        <v>0</v>
      </c>
      <c r="AS799" s="475">
        <v>0</v>
      </c>
      <c r="AT799" s="475">
        <v>0</v>
      </c>
      <c r="AU799" s="475">
        <v>0</v>
      </c>
      <c r="AV799" s="475">
        <v>0</v>
      </c>
      <c r="AW799" s="475">
        <v>0</v>
      </c>
      <c r="AX799" s="475">
        <v>0</v>
      </c>
      <c r="AY799" s="475">
        <v>0</v>
      </c>
      <c r="AZ799" s="475">
        <v>0</v>
      </c>
      <c r="BA799" s="475">
        <v>0</v>
      </c>
      <c r="BB799" s="475">
        <v>0</v>
      </c>
      <c r="BC799" s="475">
        <v>0</v>
      </c>
      <c r="BD799" s="475">
        <v>0</v>
      </c>
      <c r="BE799" s="476">
        <v>0</v>
      </c>
    </row>
    <row r="800" spans="1:57" x14ac:dyDescent="0.25">
      <c r="B800" s="468"/>
      <c r="C800" s="469"/>
      <c r="D800" s="469"/>
      <c r="E800" s="469"/>
      <c r="F800" s="469"/>
      <c r="G800" s="469"/>
      <c r="H800" s="469"/>
      <c r="I800" s="469"/>
      <c r="J800" s="469"/>
      <c r="K800" s="469"/>
      <c r="L800" s="469"/>
      <c r="M800" s="469"/>
      <c r="N800" s="469"/>
      <c r="O800" s="469"/>
      <c r="P800" s="469"/>
      <c r="Q800" s="469"/>
      <c r="R800" s="469"/>
      <c r="S800" s="469"/>
      <c r="T800" s="469"/>
      <c r="U800" s="469"/>
      <c r="V800" s="469"/>
      <c r="W800" s="469"/>
      <c r="X800" s="469"/>
      <c r="Y800" s="469"/>
      <c r="Z800" s="469"/>
      <c r="AA800" s="469"/>
      <c r="AB800" s="469"/>
      <c r="AC800" s="469"/>
      <c r="AD800" s="469"/>
      <c r="AE800" s="469"/>
      <c r="AF800" s="469"/>
      <c r="AG800" s="469"/>
      <c r="AH800" s="469"/>
      <c r="AI800" s="469"/>
      <c r="AJ800" s="469"/>
      <c r="AK800" s="469"/>
      <c r="AL800" s="469"/>
      <c r="AM800" s="469"/>
      <c r="AN800" s="469"/>
      <c r="AO800" s="469"/>
      <c r="AP800" s="469"/>
      <c r="AQ800" s="469"/>
      <c r="AR800" s="469"/>
      <c r="AS800" s="469"/>
      <c r="AT800" s="469"/>
      <c r="AU800" s="469"/>
      <c r="AV800" s="469"/>
      <c r="AW800" s="469"/>
      <c r="AX800" s="469"/>
      <c r="AY800" s="469"/>
      <c r="AZ800" s="469"/>
      <c r="BA800" s="469"/>
      <c r="BB800" s="469"/>
      <c r="BC800" s="469"/>
      <c r="BD800" s="469"/>
      <c r="BE800" s="470"/>
    </row>
    <row r="801" spans="2:57" x14ac:dyDescent="0.25">
      <c r="B801" s="468"/>
      <c r="C801" s="469"/>
      <c r="D801" s="469"/>
      <c r="E801" s="469"/>
      <c r="F801" s="478" t="s">
        <v>61</v>
      </c>
      <c r="G801" s="478" t="s">
        <v>62</v>
      </c>
      <c r="H801" s="469"/>
      <c r="I801" s="469"/>
      <c r="J801" s="469"/>
      <c r="K801" s="469"/>
      <c r="L801" s="469"/>
      <c r="M801" s="469"/>
      <c r="N801" s="469"/>
      <c r="O801" s="469"/>
      <c r="P801" s="469"/>
      <c r="Q801" s="469"/>
      <c r="R801" s="469"/>
      <c r="S801" s="469"/>
      <c r="T801" s="469"/>
      <c r="U801" s="469"/>
      <c r="V801" s="469"/>
      <c r="W801" s="469"/>
      <c r="X801" s="469"/>
      <c r="Y801" s="469"/>
      <c r="Z801" s="469"/>
      <c r="AA801" s="469"/>
      <c r="AB801" s="469"/>
      <c r="AC801" s="469"/>
      <c r="AD801" s="469"/>
      <c r="AE801" s="469"/>
      <c r="AF801" s="469"/>
      <c r="AG801" s="469"/>
      <c r="AH801" s="469"/>
      <c r="AI801" s="469"/>
      <c r="AJ801" s="469"/>
      <c r="AK801" s="469"/>
      <c r="AL801" s="469"/>
      <c r="AM801" s="469"/>
      <c r="AN801" s="469"/>
      <c r="AO801" s="469"/>
      <c r="AP801" s="469"/>
      <c r="AQ801" s="469"/>
      <c r="AR801" s="469"/>
      <c r="AS801" s="469"/>
      <c r="AT801" s="469"/>
      <c r="AU801" s="469"/>
      <c r="AV801" s="469"/>
      <c r="AW801" s="469"/>
      <c r="AX801" s="469"/>
      <c r="AY801" s="469"/>
      <c r="AZ801" s="469"/>
      <c r="BA801" s="469"/>
      <c r="BB801" s="469"/>
      <c r="BC801" s="469"/>
      <c r="BD801" s="469"/>
      <c r="BE801" s="470"/>
    </row>
    <row r="802" spans="2:57" x14ac:dyDescent="0.25">
      <c r="B802" s="468"/>
      <c r="C802" s="469" t="s">
        <v>57</v>
      </c>
      <c r="D802" s="469"/>
      <c r="E802" s="469"/>
      <c r="F802" s="475">
        <f>'II. Inputs, Baseline Energy Mix'!$P$109</f>
        <v>1</v>
      </c>
      <c r="G802" s="1343">
        <f>IF('II. Inputs, Baseline Energy Mix'!$P$15&gt;0, F802*'II. Inputs, Baseline Energy Mix'!$P$16*'II. Inputs, Baseline Energy Mix'!$P$17,0)</f>
        <v>0</v>
      </c>
      <c r="H802" s="1343">
        <f>$G$802*H798</f>
        <v>0</v>
      </c>
      <c r="I802" s="1343">
        <f t="shared" ref="I802:BE802" si="258">$G$802*I798</f>
        <v>0</v>
      </c>
      <c r="J802" s="1343">
        <f t="shared" si="258"/>
        <v>0</v>
      </c>
      <c r="K802" s="1343">
        <f t="shared" si="258"/>
        <v>0</v>
      </c>
      <c r="L802" s="1343">
        <f t="shared" si="258"/>
        <v>0</v>
      </c>
      <c r="M802" s="1343">
        <f t="shared" si="258"/>
        <v>0</v>
      </c>
      <c r="N802" s="1343">
        <f t="shared" si="258"/>
        <v>0</v>
      </c>
      <c r="O802" s="1343">
        <f t="shared" si="258"/>
        <v>0</v>
      </c>
      <c r="P802" s="1343">
        <f t="shared" si="258"/>
        <v>0</v>
      </c>
      <c r="Q802" s="1343">
        <f t="shared" si="258"/>
        <v>0</v>
      </c>
      <c r="R802" s="1343">
        <f t="shared" si="258"/>
        <v>0</v>
      </c>
      <c r="S802" s="1343">
        <f t="shared" si="258"/>
        <v>0</v>
      </c>
      <c r="T802" s="1343">
        <f t="shared" si="258"/>
        <v>0</v>
      </c>
      <c r="U802" s="1343">
        <f t="shared" si="258"/>
        <v>0</v>
      </c>
      <c r="V802" s="1343">
        <f t="shared" si="258"/>
        <v>0</v>
      </c>
      <c r="W802" s="1343">
        <f t="shared" si="258"/>
        <v>0</v>
      </c>
      <c r="X802" s="1343">
        <f t="shared" si="258"/>
        <v>0</v>
      </c>
      <c r="Y802" s="1343">
        <f t="shared" si="258"/>
        <v>0</v>
      </c>
      <c r="Z802" s="1343">
        <f t="shared" si="258"/>
        <v>0</v>
      </c>
      <c r="AA802" s="1343">
        <f t="shared" si="258"/>
        <v>0</v>
      </c>
      <c r="AB802" s="1343">
        <f t="shared" si="258"/>
        <v>0</v>
      </c>
      <c r="AC802" s="1343">
        <f t="shared" si="258"/>
        <v>0</v>
      </c>
      <c r="AD802" s="1343">
        <f t="shared" si="258"/>
        <v>0</v>
      </c>
      <c r="AE802" s="1343">
        <f t="shared" si="258"/>
        <v>0</v>
      </c>
      <c r="AF802" s="1343">
        <f t="shared" si="258"/>
        <v>0</v>
      </c>
      <c r="AG802" s="1343">
        <f t="shared" si="258"/>
        <v>0</v>
      </c>
      <c r="AH802" s="1343">
        <f t="shared" si="258"/>
        <v>0</v>
      </c>
      <c r="AI802" s="1343">
        <f t="shared" si="258"/>
        <v>0</v>
      </c>
      <c r="AJ802" s="1343">
        <f t="shared" si="258"/>
        <v>0</v>
      </c>
      <c r="AK802" s="1343">
        <f t="shared" si="258"/>
        <v>0</v>
      </c>
      <c r="AL802" s="1343">
        <f t="shared" si="258"/>
        <v>0</v>
      </c>
      <c r="AM802" s="1343">
        <f t="shared" si="258"/>
        <v>0</v>
      </c>
      <c r="AN802" s="1343">
        <f t="shared" si="258"/>
        <v>0</v>
      </c>
      <c r="AO802" s="1343">
        <f t="shared" si="258"/>
        <v>0</v>
      </c>
      <c r="AP802" s="1343">
        <f t="shared" si="258"/>
        <v>0</v>
      </c>
      <c r="AQ802" s="1343">
        <f t="shared" si="258"/>
        <v>0</v>
      </c>
      <c r="AR802" s="1343">
        <f t="shared" si="258"/>
        <v>0</v>
      </c>
      <c r="AS802" s="1343">
        <f t="shared" si="258"/>
        <v>0</v>
      </c>
      <c r="AT802" s="1343">
        <f t="shared" si="258"/>
        <v>0</v>
      </c>
      <c r="AU802" s="1343">
        <f t="shared" si="258"/>
        <v>0</v>
      </c>
      <c r="AV802" s="1343">
        <f t="shared" si="258"/>
        <v>0</v>
      </c>
      <c r="AW802" s="1343">
        <f t="shared" si="258"/>
        <v>0</v>
      </c>
      <c r="AX802" s="1343">
        <f t="shared" si="258"/>
        <v>0</v>
      </c>
      <c r="AY802" s="1343">
        <f t="shared" si="258"/>
        <v>0</v>
      </c>
      <c r="AZ802" s="1343">
        <f t="shared" si="258"/>
        <v>0</v>
      </c>
      <c r="BA802" s="1343">
        <f t="shared" si="258"/>
        <v>0</v>
      </c>
      <c r="BB802" s="1343">
        <f t="shared" si="258"/>
        <v>0</v>
      </c>
      <c r="BC802" s="1343">
        <f t="shared" si="258"/>
        <v>0</v>
      </c>
      <c r="BD802" s="1343">
        <f t="shared" si="258"/>
        <v>0</v>
      </c>
      <c r="BE802" s="1344">
        <f t="shared" si="258"/>
        <v>0</v>
      </c>
    </row>
    <row r="803" spans="2:57" x14ac:dyDescent="0.25">
      <c r="B803" s="468"/>
      <c r="C803" s="479" t="s">
        <v>18</v>
      </c>
      <c r="D803" s="479"/>
      <c r="E803" s="479"/>
      <c r="F803" s="480">
        <f>'II. Inputs, Baseline Energy Mix'!$P$110</f>
        <v>0</v>
      </c>
      <c r="G803" s="1345">
        <f>IF('II. Inputs, Baseline Energy Mix'!$P$15&gt;0, F803*'II. Inputs, Baseline Energy Mix'!$P$16*'II. Inputs, Baseline Energy Mix'!$P$17,0)</f>
        <v>0</v>
      </c>
      <c r="H803" s="1345">
        <f>$G$803*H799</f>
        <v>0</v>
      </c>
      <c r="I803" s="1345">
        <f t="shared" ref="I803:BE803" si="259">$G$803*I799</f>
        <v>0</v>
      </c>
      <c r="J803" s="1345">
        <f t="shared" si="259"/>
        <v>0</v>
      </c>
      <c r="K803" s="1345">
        <f t="shared" si="259"/>
        <v>0</v>
      </c>
      <c r="L803" s="1345">
        <f t="shared" si="259"/>
        <v>0</v>
      </c>
      <c r="M803" s="1345">
        <f t="shared" si="259"/>
        <v>0</v>
      </c>
      <c r="N803" s="1345">
        <f t="shared" si="259"/>
        <v>0</v>
      </c>
      <c r="O803" s="1345">
        <f t="shared" si="259"/>
        <v>0</v>
      </c>
      <c r="P803" s="1345">
        <f t="shared" si="259"/>
        <v>0</v>
      </c>
      <c r="Q803" s="1345">
        <f t="shared" si="259"/>
        <v>0</v>
      </c>
      <c r="R803" s="1345">
        <f t="shared" si="259"/>
        <v>0</v>
      </c>
      <c r="S803" s="1345">
        <f t="shared" si="259"/>
        <v>0</v>
      </c>
      <c r="T803" s="1345">
        <f t="shared" si="259"/>
        <v>0</v>
      </c>
      <c r="U803" s="1345">
        <f t="shared" si="259"/>
        <v>0</v>
      </c>
      <c r="V803" s="1345">
        <f t="shared" si="259"/>
        <v>0</v>
      </c>
      <c r="W803" s="1345">
        <f t="shared" si="259"/>
        <v>0</v>
      </c>
      <c r="X803" s="1345">
        <f t="shared" si="259"/>
        <v>0</v>
      </c>
      <c r="Y803" s="1345">
        <f t="shared" si="259"/>
        <v>0</v>
      </c>
      <c r="Z803" s="1345">
        <f t="shared" si="259"/>
        <v>0</v>
      </c>
      <c r="AA803" s="1345">
        <f t="shared" si="259"/>
        <v>0</v>
      </c>
      <c r="AB803" s="1345">
        <f t="shared" si="259"/>
        <v>0</v>
      </c>
      <c r="AC803" s="1345">
        <f t="shared" si="259"/>
        <v>0</v>
      </c>
      <c r="AD803" s="1345">
        <f t="shared" si="259"/>
        <v>0</v>
      </c>
      <c r="AE803" s="1345">
        <f t="shared" si="259"/>
        <v>0</v>
      </c>
      <c r="AF803" s="1345">
        <f t="shared" si="259"/>
        <v>0</v>
      </c>
      <c r="AG803" s="1345">
        <f t="shared" si="259"/>
        <v>0</v>
      </c>
      <c r="AH803" s="1345">
        <f t="shared" si="259"/>
        <v>0</v>
      </c>
      <c r="AI803" s="1345">
        <f t="shared" si="259"/>
        <v>0</v>
      </c>
      <c r="AJ803" s="1345">
        <f t="shared" si="259"/>
        <v>0</v>
      </c>
      <c r="AK803" s="1345">
        <f t="shared" si="259"/>
        <v>0</v>
      </c>
      <c r="AL803" s="1345">
        <f t="shared" si="259"/>
        <v>0</v>
      </c>
      <c r="AM803" s="1345">
        <f t="shared" si="259"/>
        <v>0</v>
      </c>
      <c r="AN803" s="1345">
        <f t="shared" si="259"/>
        <v>0</v>
      </c>
      <c r="AO803" s="1345">
        <f t="shared" si="259"/>
        <v>0</v>
      </c>
      <c r="AP803" s="1345">
        <f t="shared" si="259"/>
        <v>0</v>
      </c>
      <c r="AQ803" s="1345">
        <f t="shared" si="259"/>
        <v>0</v>
      </c>
      <c r="AR803" s="1345">
        <f t="shared" si="259"/>
        <v>0</v>
      </c>
      <c r="AS803" s="1345">
        <f t="shared" si="259"/>
        <v>0</v>
      </c>
      <c r="AT803" s="1345">
        <f t="shared" si="259"/>
        <v>0</v>
      </c>
      <c r="AU803" s="1345">
        <f t="shared" si="259"/>
        <v>0</v>
      </c>
      <c r="AV803" s="1345">
        <f t="shared" si="259"/>
        <v>0</v>
      </c>
      <c r="AW803" s="1345">
        <f t="shared" si="259"/>
        <v>0</v>
      </c>
      <c r="AX803" s="1345">
        <f t="shared" si="259"/>
        <v>0</v>
      </c>
      <c r="AY803" s="1345">
        <f t="shared" si="259"/>
        <v>0</v>
      </c>
      <c r="AZ803" s="1345">
        <f t="shared" si="259"/>
        <v>0</v>
      </c>
      <c r="BA803" s="1345">
        <f t="shared" si="259"/>
        <v>0</v>
      </c>
      <c r="BB803" s="1345">
        <f t="shared" si="259"/>
        <v>0</v>
      </c>
      <c r="BC803" s="1345">
        <f t="shared" si="259"/>
        <v>0</v>
      </c>
      <c r="BD803" s="1345">
        <f t="shared" si="259"/>
        <v>0</v>
      </c>
      <c r="BE803" s="1346">
        <f t="shared" si="259"/>
        <v>0</v>
      </c>
    </row>
    <row r="804" spans="2:57" x14ac:dyDescent="0.25">
      <c r="B804" s="468"/>
      <c r="C804" s="469" t="s">
        <v>63</v>
      </c>
      <c r="D804" s="469"/>
      <c r="E804" s="469"/>
      <c r="F804" s="469"/>
      <c r="G804" s="1343">
        <f>G802+G803</f>
        <v>0</v>
      </c>
      <c r="H804" s="1343">
        <f>H802+H803</f>
        <v>0</v>
      </c>
      <c r="I804" s="1343">
        <f t="shared" ref="I804:BE804" si="260">I802+I803</f>
        <v>0</v>
      </c>
      <c r="J804" s="1343">
        <f t="shared" si="260"/>
        <v>0</v>
      </c>
      <c r="K804" s="1343">
        <f t="shared" si="260"/>
        <v>0</v>
      </c>
      <c r="L804" s="1343">
        <f t="shared" si="260"/>
        <v>0</v>
      </c>
      <c r="M804" s="1343">
        <f t="shared" si="260"/>
        <v>0</v>
      </c>
      <c r="N804" s="1343">
        <f t="shared" si="260"/>
        <v>0</v>
      </c>
      <c r="O804" s="1343">
        <f t="shared" si="260"/>
        <v>0</v>
      </c>
      <c r="P804" s="1343">
        <f t="shared" si="260"/>
        <v>0</v>
      </c>
      <c r="Q804" s="1343">
        <f t="shared" si="260"/>
        <v>0</v>
      </c>
      <c r="R804" s="1343">
        <f t="shared" si="260"/>
        <v>0</v>
      </c>
      <c r="S804" s="1343">
        <f t="shared" si="260"/>
        <v>0</v>
      </c>
      <c r="T804" s="1343">
        <f t="shared" si="260"/>
        <v>0</v>
      </c>
      <c r="U804" s="1343">
        <f t="shared" si="260"/>
        <v>0</v>
      </c>
      <c r="V804" s="1343">
        <f t="shared" si="260"/>
        <v>0</v>
      </c>
      <c r="W804" s="1343">
        <f t="shared" si="260"/>
        <v>0</v>
      </c>
      <c r="X804" s="1343">
        <f t="shared" si="260"/>
        <v>0</v>
      </c>
      <c r="Y804" s="1343">
        <f t="shared" si="260"/>
        <v>0</v>
      </c>
      <c r="Z804" s="1343">
        <f t="shared" si="260"/>
        <v>0</v>
      </c>
      <c r="AA804" s="1343">
        <f t="shared" si="260"/>
        <v>0</v>
      </c>
      <c r="AB804" s="1343">
        <f t="shared" si="260"/>
        <v>0</v>
      </c>
      <c r="AC804" s="1343">
        <f t="shared" si="260"/>
        <v>0</v>
      </c>
      <c r="AD804" s="1343">
        <f t="shared" si="260"/>
        <v>0</v>
      </c>
      <c r="AE804" s="1343">
        <f t="shared" si="260"/>
        <v>0</v>
      </c>
      <c r="AF804" s="1343">
        <f t="shared" si="260"/>
        <v>0</v>
      </c>
      <c r="AG804" s="1343">
        <f t="shared" si="260"/>
        <v>0</v>
      </c>
      <c r="AH804" s="1343">
        <f t="shared" si="260"/>
        <v>0</v>
      </c>
      <c r="AI804" s="1343">
        <f t="shared" si="260"/>
        <v>0</v>
      </c>
      <c r="AJ804" s="1343">
        <f t="shared" si="260"/>
        <v>0</v>
      </c>
      <c r="AK804" s="1343">
        <f t="shared" si="260"/>
        <v>0</v>
      </c>
      <c r="AL804" s="1343">
        <f t="shared" si="260"/>
        <v>0</v>
      </c>
      <c r="AM804" s="1343">
        <f t="shared" si="260"/>
        <v>0</v>
      </c>
      <c r="AN804" s="1343">
        <f t="shared" si="260"/>
        <v>0</v>
      </c>
      <c r="AO804" s="1343">
        <f t="shared" si="260"/>
        <v>0</v>
      </c>
      <c r="AP804" s="1343">
        <f t="shared" si="260"/>
        <v>0</v>
      </c>
      <c r="AQ804" s="1343">
        <f t="shared" si="260"/>
        <v>0</v>
      </c>
      <c r="AR804" s="1343">
        <f t="shared" si="260"/>
        <v>0</v>
      </c>
      <c r="AS804" s="1343">
        <f t="shared" si="260"/>
        <v>0</v>
      </c>
      <c r="AT804" s="1343">
        <f t="shared" si="260"/>
        <v>0</v>
      </c>
      <c r="AU804" s="1343">
        <f t="shared" si="260"/>
        <v>0</v>
      </c>
      <c r="AV804" s="1343">
        <f t="shared" si="260"/>
        <v>0</v>
      </c>
      <c r="AW804" s="1343">
        <f t="shared" si="260"/>
        <v>0</v>
      </c>
      <c r="AX804" s="1343">
        <f t="shared" si="260"/>
        <v>0</v>
      </c>
      <c r="AY804" s="1343">
        <f t="shared" si="260"/>
        <v>0</v>
      </c>
      <c r="AZ804" s="1343">
        <f t="shared" si="260"/>
        <v>0</v>
      </c>
      <c r="BA804" s="1343">
        <f t="shared" si="260"/>
        <v>0</v>
      </c>
      <c r="BB804" s="1343">
        <f t="shared" si="260"/>
        <v>0</v>
      </c>
      <c r="BC804" s="1343">
        <f t="shared" si="260"/>
        <v>0</v>
      </c>
      <c r="BD804" s="1343">
        <f t="shared" si="260"/>
        <v>0</v>
      </c>
      <c r="BE804" s="1344">
        <f t="shared" si="260"/>
        <v>0</v>
      </c>
    </row>
    <row r="805" spans="2:57" x14ac:dyDescent="0.25">
      <c r="B805" s="468"/>
      <c r="C805" s="469"/>
      <c r="D805" s="469"/>
      <c r="E805" s="469"/>
      <c r="F805" s="469"/>
      <c r="G805" s="469"/>
      <c r="H805" s="469"/>
      <c r="I805" s="469"/>
      <c r="J805" s="469"/>
      <c r="K805" s="469"/>
      <c r="L805" s="469"/>
      <c r="M805" s="469"/>
      <c r="N805" s="469"/>
      <c r="O805" s="469"/>
      <c r="P805" s="469"/>
      <c r="Q805" s="469"/>
      <c r="R805" s="469"/>
      <c r="S805" s="469"/>
      <c r="T805" s="469"/>
      <c r="U805" s="469"/>
      <c r="V805" s="469"/>
      <c r="W805" s="469"/>
      <c r="X805" s="469"/>
      <c r="Y805" s="469"/>
      <c r="Z805" s="469"/>
      <c r="AA805" s="469"/>
      <c r="AB805" s="469"/>
      <c r="AC805" s="469"/>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69"/>
      <c r="AY805" s="469"/>
      <c r="AZ805" s="469"/>
      <c r="BA805" s="469"/>
      <c r="BB805" s="469"/>
      <c r="BC805" s="469"/>
      <c r="BD805" s="469"/>
      <c r="BE805" s="470"/>
    </row>
    <row r="806" spans="2:57" x14ac:dyDescent="0.25">
      <c r="B806" s="481"/>
      <c r="C806" s="479"/>
      <c r="D806" s="479"/>
      <c r="E806" s="479"/>
      <c r="F806" s="479"/>
      <c r="G806" s="479"/>
      <c r="H806" s="479"/>
      <c r="I806" s="479"/>
      <c r="J806" s="479"/>
      <c r="K806" s="479"/>
      <c r="L806" s="479"/>
      <c r="M806" s="479"/>
      <c r="N806" s="479"/>
      <c r="O806" s="479"/>
      <c r="P806" s="479"/>
      <c r="Q806" s="479"/>
      <c r="R806" s="479"/>
      <c r="S806" s="479"/>
      <c r="T806" s="479"/>
      <c r="U806" s="479"/>
      <c r="V806" s="479"/>
      <c r="W806" s="479"/>
      <c r="X806" s="479"/>
      <c r="Y806" s="479"/>
      <c r="Z806" s="479"/>
      <c r="AA806" s="479"/>
      <c r="AB806" s="479"/>
      <c r="AC806" s="479"/>
      <c r="AD806" s="479"/>
      <c r="AE806" s="479"/>
      <c r="AF806" s="479"/>
      <c r="AG806" s="479"/>
      <c r="AH806" s="479"/>
      <c r="AI806" s="479"/>
      <c r="AJ806" s="479"/>
      <c r="AK806" s="479"/>
      <c r="AL806" s="479"/>
      <c r="AM806" s="479"/>
      <c r="AN806" s="479"/>
      <c r="AO806" s="479"/>
      <c r="AP806" s="479"/>
      <c r="AQ806" s="479"/>
      <c r="AR806" s="479"/>
      <c r="AS806" s="479"/>
      <c r="AT806" s="479"/>
      <c r="AU806" s="479"/>
      <c r="AV806" s="479"/>
      <c r="AW806" s="479"/>
      <c r="AX806" s="479"/>
      <c r="AY806" s="479"/>
      <c r="AZ806" s="479"/>
      <c r="BA806" s="479"/>
      <c r="BB806" s="479"/>
      <c r="BC806" s="479"/>
      <c r="BD806" s="479"/>
      <c r="BE806" s="482"/>
    </row>
    <row r="807" spans="2:57" x14ac:dyDescent="0.25"/>
    <row r="808" spans="2:57" x14ac:dyDescent="0.25">
      <c r="B808" s="483"/>
      <c r="C808" s="484" t="str">
        <f>'II. Inputs, Baseline Energy Mix'!$Q$14</f>
        <v>Diesel Fuel</v>
      </c>
      <c r="D808" s="485"/>
      <c r="E808" s="485"/>
      <c r="F808" s="485"/>
      <c r="G808" s="485"/>
      <c r="H808" s="485"/>
      <c r="I808" s="485"/>
      <c r="J808" s="485"/>
      <c r="K808" s="485"/>
      <c r="L808" s="485"/>
      <c r="M808" s="485"/>
      <c r="N808" s="485"/>
      <c r="O808" s="485"/>
      <c r="P808" s="485"/>
      <c r="Q808" s="485"/>
      <c r="R808" s="485"/>
      <c r="S808" s="485"/>
      <c r="T808" s="485"/>
      <c r="U808" s="485"/>
      <c r="V808" s="485"/>
      <c r="W808" s="485"/>
      <c r="X808" s="485"/>
      <c r="Y808" s="485"/>
      <c r="Z808" s="485"/>
      <c r="AA808" s="485"/>
      <c r="AB808" s="485"/>
      <c r="AC808" s="485"/>
      <c r="AD808" s="485"/>
      <c r="AE808" s="485"/>
      <c r="AF808" s="485"/>
      <c r="AG808" s="485"/>
      <c r="AH808" s="485"/>
      <c r="AI808" s="485"/>
      <c r="AJ808" s="485"/>
      <c r="AK808" s="485"/>
      <c r="AL808" s="485"/>
      <c r="AM808" s="485"/>
      <c r="AN808" s="485"/>
      <c r="AO808" s="485"/>
      <c r="AP808" s="485"/>
      <c r="AQ808" s="485"/>
      <c r="AR808" s="485"/>
      <c r="AS808" s="485"/>
      <c r="AT808" s="485"/>
      <c r="AU808" s="485"/>
      <c r="AV808" s="485"/>
      <c r="AW808" s="485"/>
      <c r="AX808" s="485"/>
      <c r="AY808" s="485"/>
      <c r="AZ808" s="485"/>
      <c r="BA808" s="485"/>
      <c r="BB808" s="485"/>
      <c r="BC808" s="485"/>
      <c r="BD808" s="485"/>
      <c r="BE808" s="486"/>
    </row>
    <row r="809" spans="2:57" x14ac:dyDescent="0.25">
      <c r="B809" s="487"/>
      <c r="C809" s="488"/>
      <c r="D809" s="488"/>
      <c r="E809" s="488"/>
      <c r="F809" s="488"/>
      <c r="G809" s="488"/>
      <c r="H809" s="488"/>
      <c r="I809" s="488"/>
      <c r="J809" s="488"/>
      <c r="K809" s="488"/>
      <c r="L809" s="488"/>
      <c r="M809" s="488"/>
      <c r="N809" s="488"/>
      <c r="O809" s="488"/>
      <c r="P809" s="488"/>
      <c r="Q809" s="488"/>
      <c r="R809" s="488"/>
      <c r="S809" s="488"/>
      <c r="T809" s="488"/>
      <c r="U809" s="488"/>
      <c r="V809" s="488"/>
      <c r="W809" s="488"/>
      <c r="X809" s="488"/>
      <c r="Y809" s="488"/>
      <c r="Z809" s="488"/>
      <c r="AA809" s="488"/>
      <c r="AB809" s="488"/>
      <c r="AC809" s="488"/>
      <c r="AD809" s="488"/>
      <c r="AE809" s="488"/>
      <c r="AF809" s="488"/>
      <c r="AG809" s="488"/>
      <c r="AH809" s="488"/>
      <c r="AI809" s="488"/>
      <c r="AJ809" s="488"/>
      <c r="AK809" s="488"/>
      <c r="AL809" s="488"/>
      <c r="AM809" s="488"/>
      <c r="AN809" s="488"/>
      <c r="AO809" s="488"/>
      <c r="AP809" s="488"/>
      <c r="AQ809" s="488"/>
      <c r="AR809" s="488"/>
      <c r="AS809" s="488"/>
      <c r="AT809" s="488"/>
      <c r="AU809" s="488"/>
      <c r="AV809" s="488"/>
      <c r="AW809" s="488"/>
      <c r="AX809" s="488"/>
      <c r="AY809" s="488"/>
      <c r="AZ809" s="488"/>
      <c r="BA809" s="488"/>
      <c r="BB809" s="488"/>
      <c r="BC809" s="488"/>
      <c r="BD809" s="488"/>
      <c r="BE809" s="489"/>
    </row>
    <row r="810" spans="2:57" x14ac:dyDescent="0.25">
      <c r="B810" s="487"/>
      <c r="C810" s="490" t="s">
        <v>64</v>
      </c>
      <c r="D810" s="491">
        <f>'II. Inputs, Baseline Energy Mix'!$Q$18</f>
        <v>25</v>
      </c>
      <c r="E810" s="492" t="s">
        <v>20</v>
      </c>
      <c r="F810" s="488"/>
      <c r="G810" s="488"/>
      <c r="H810" s="488"/>
      <c r="I810" s="488"/>
      <c r="J810" s="488"/>
      <c r="K810" s="488"/>
      <c r="L810" s="488"/>
      <c r="M810" s="488"/>
      <c r="N810" s="488"/>
      <c r="O810" s="488"/>
      <c r="P810" s="488"/>
      <c r="Q810" s="488"/>
      <c r="R810" s="488"/>
      <c r="S810" s="488"/>
      <c r="T810" s="488"/>
      <c r="U810" s="488"/>
      <c r="V810" s="488"/>
      <c r="W810" s="488"/>
      <c r="X810" s="488"/>
      <c r="Y810" s="488"/>
      <c r="Z810" s="488"/>
      <c r="AA810" s="488"/>
      <c r="AB810" s="488"/>
      <c r="AC810" s="488"/>
      <c r="AD810" s="488"/>
      <c r="AE810" s="488"/>
      <c r="AF810" s="488"/>
      <c r="AG810" s="488"/>
      <c r="AH810" s="488"/>
      <c r="AI810" s="488"/>
      <c r="AJ810" s="488"/>
      <c r="AK810" s="488"/>
      <c r="AL810" s="488"/>
      <c r="AM810" s="488"/>
      <c r="AN810" s="488"/>
      <c r="AO810" s="488"/>
      <c r="AP810" s="488"/>
      <c r="AQ810" s="488"/>
      <c r="AR810" s="488"/>
      <c r="AS810" s="488"/>
      <c r="AT810" s="488"/>
      <c r="AU810" s="488"/>
      <c r="AV810" s="488"/>
      <c r="AW810" s="488"/>
      <c r="AX810" s="488"/>
      <c r="AY810" s="488"/>
      <c r="AZ810" s="488"/>
      <c r="BA810" s="488"/>
      <c r="BB810" s="488"/>
      <c r="BC810" s="488"/>
      <c r="BD810" s="488"/>
      <c r="BE810" s="489"/>
    </row>
    <row r="811" spans="2:57" x14ac:dyDescent="0.25">
      <c r="B811" s="487"/>
      <c r="C811" s="488"/>
      <c r="D811" s="488"/>
      <c r="E811" s="488"/>
      <c r="F811" s="488"/>
      <c r="G811" s="488"/>
      <c r="H811" s="488"/>
      <c r="I811" s="488"/>
      <c r="J811" s="488"/>
      <c r="K811" s="488"/>
      <c r="L811" s="488"/>
      <c r="M811" s="488"/>
      <c r="N811" s="488"/>
      <c r="O811" s="488"/>
      <c r="P811" s="488"/>
      <c r="Q811" s="488"/>
      <c r="R811" s="488"/>
      <c r="S811" s="488"/>
      <c r="T811" s="488"/>
      <c r="U811" s="488"/>
      <c r="V811" s="488"/>
      <c r="W811" s="488"/>
      <c r="X811" s="488"/>
      <c r="Y811" s="488"/>
      <c r="Z811" s="488"/>
      <c r="AA811" s="488"/>
      <c r="AB811" s="488"/>
      <c r="AC811" s="488"/>
      <c r="AD811" s="488"/>
      <c r="AE811" s="488"/>
      <c r="AF811" s="488"/>
      <c r="AG811" s="488"/>
      <c r="AH811" s="488"/>
      <c r="AI811" s="488"/>
      <c r="AJ811" s="488"/>
      <c r="AK811" s="488"/>
      <c r="AL811" s="488"/>
      <c r="AM811" s="488"/>
      <c r="AN811" s="488"/>
      <c r="AO811" s="488"/>
      <c r="AP811" s="488"/>
      <c r="AQ811" s="488"/>
      <c r="AR811" s="488"/>
      <c r="AS811" s="488"/>
      <c r="AT811" s="488"/>
      <c r="AU811" s="488"/>
      <c r="AV811" s="488"/>
      <c r="AW811" s="488"/>
      <c r="AX811" s="488"/>
      <c r="AY811" s="488"/>
      <c r="AZ811" s="488"/>
      <c r="BA811" s="488"/>
      <c r="BB811" s="488"/>
      <c r="BC811" s="488"/>
      <c r="BD811" s="488"/>
      <c r="BE811" s="489"/>
    </row>
    <row r="812" spans="2:57" x14ac:dyDescent="0.25">
      <c r="B812" s="487"/>
      <c r="C812" s="488" t="s">
        <v>59</v>
      </c>
      <c r="D812" s="488"/>
      <c r="E812" s="488"/>
      <c r="F812" s="488"/>
      <c r="G812" s="493"/>
      <c r="H812" s="494">
        <f>IF(H$764&gt;$D$810,0,1/$D$810)</f>
        <v>0.04</v>
      </c>
      <c r="I812" s="494">
        <f t="shared" ref="I812:BE812" si="261">IF(I$764&gt;$D$810,0,1/$D$810)</f>
        <v>0.04</v>
      </c>
      <c r="J812" s="494">
        <f t="shared" si="261"/>
        <v>0.04</v>
      </c>
      <c r="K812" s="494">
        <f t="shared" si="261"/>
        <v>0.04</v>
      </c>
      <c r="L812" s="494">
        <f t="shared" si="261"/>
        <v>0.04</v>
      </c>
      <c r="M812" s="494">
        <f t="shared" si="261"/>
        <v>0.04</v>
      </c>
      <c r="N812" s="494">
        <f t="shared" si="261"/>
        <v>0.04</v>
      </c>
      <c r="O812" s="494">
        <f t="shared" si="261"/>
        <v>0.04</v>
      </c>
      <c r="P812" s="494">
        <f t="shared" si="261"/>
        <v>0.04</v>
      </c>
      <c r="Q812" s="494">
        <f t="shared" si="261"/>
        <v>0.04</v>
      </c>
      <c r="R812" s="494">
        <f t="shared" si="261"/>
        <v>0.04</v>
      </c>
      <c r="S812" s="494">
        <f t="shared" si="261"/>
        <v>0.04</v>
      </c>
      <c r="T812" s="494">
        <f t="shared" si="261"/>
        <v>0.04</v>
      </c>
      <c r="U812" s="494">
        <f t="shared" si="261"/>
        <v>0.04</v>
      </c>
      <c r="V812" s="494">
        <f t="shared" si="261"/>
        <v>0.04</v>
      </c>
      <c r="W812" s="494">
        <f t="shared" si="261"/>
        <v>0.04</v>
      </c>
      <c r="X812" s="494">
        <f t="shared" si="261"/>
        <v>0.04</v>
      </c>
      <c r="Y812" s="494">
        <f t="shared" si="261"/>
        <v>0.04</v>
      </c>
      <c r="Z812" s="494">
        <f t="shared" si="261"/>
        <v>0.04</v>
      </c>
      <c r="AA812" s="494">
        <f t="shared" si="261"/>
        <v>0.04</v>
      </c>
      <c r="AB812" s="494">
        <f t="shared" si="261"/>
        <v>0.04</v>
      </c>
      <c r="AC812" s="494">
        <f t="shared" si="261"/>
        <v>0.04</v>
      </c>
      <c r="AD812" s="494">
        <f t="shared" si="261"/>
        <v>0.04</v>
      </c>
      <c r="AE812" s="494">
        <f t="shared" si="261"/>
        <v>0.04</v>
      </c>
      <c r="AF812" s="494">
        <f t="shared" si="261"/>
        <v>0.04</v>
      </c>
      <c r="AG812" s="494">
        <f t="shared" si="261"/>
        <v>0</v>
      </c>
      <c r="AH812" s="494">
        <f t="shared" si="261"/>
        <v>0</v>
      </c>
      <c r="AI812" s="494">
        <f t="shared" si="261"/>
        <v>0</v>
      </c>
      <c r="AJ812" s="494">
        <f t="shared" si="261"/>
        <v>0</v>
      </c>
      <c r="AK812" s="494">
        <f t="shared" si="261"/>
        <v>0</v>
      </c>
      <c r="AL812" s="494">
        <f t="shared" si="261"/>
        <v>0</v>
      </c>
      <c r="AM812" s="494">
        <f t="shared" si="261"/>
        <v>0</v>
      </c>
      <c r="AN812" s="494">
        <f t="shared" si="261"/>
        <v>0</v>
      </c>
      <c r="AO812" s="494">
        <f t="shared" si="261"/>
        <v>0</v>
      </c>
      <c r="AP812" s="494">
        <f t="shared" si="261"/>
        <v>0</v>
      </c>
      <c r="AQ812" s="494">
        <f t="shared" si="261"/>
        <v>0</v>
      </c>
      <c r="AR812" s="494">
        <f t="shared" si="261"/>
        <v>0</v>
      </c>
      <c r="AS812" s="494">
        <f t="shared" si="261"/>
        <v>0</v>
      </c>
      <c r="AT812" s="494">
        <f t="shared" si="261"/>
        <v>0</v>
      </c>
      <c r="AU812" s="494">
        <f t="shared" si="261"/>
        <v>0</v>
      </c>
      <c r="AV812" s="494">
        <f t="shared" si="261"/>
        <v>0</v>
      </c>
      <c r="AW812" s="494">
        <f t="shared" si="261"/>
        <v>0</v>
      </c>
      <c r="AX812" s="494">
        <f t="shared" si="261"/>
        <v>0</v>
      </c>
      <c r="AY812" s="494">
        <f t="shared" si="261"/>
        <v>0</v>
      </c>
      <c r="AZ812" s="494">
        <f t="shared" si="261"/>
        <v>0</v>
      </c>
      <c r="BA812" s="494">
        <f t="shared" si="261"/>
        <v>0</v>
      </c>
      <c r="BB812" s="494">
        <f t="shared" si="261"/>
        <v>0</v>
      </c>
      <c r="BC812" s="494">
        <f t="shared" si="261"/>
        <v>0</v>
      </c>
      <c r="BD812" s="494">
        <f t="shared" si="261"/>
        <v>0</v>
      </c>
      <c r="BE812" s="495">
        <f t="shared" si="261"/>
        <v>0</v>
      </c>
    </row>
    <row r="813" spans="2:57" x14ac:dyDescent="0.25">
      <c r="B813" s="487"/>
      <c r="C813" s="488" t="s">
        <v>60</v>
      </c>
      <c r="D813" s="488"/>
      <c r="E813" s="488"/>
      <c r="F813" s="488"/>
      <c r="G813" s="496"/>
      <c r="H813" s="494">
        <v>0</v>
      </c>
      <c r="I813" s="494">
        <v>0</v>
      </c>
      <c r="J813" s="494">
        <v>0</v>
      </c>
      <c r="K813" s="494">
        <v>0</v>
      </c>
      <c r="L813" s="494">
        <v>0</v>
      </c>
      <c r="M813" s="494">
        <v>0</v>
      </c>
      <c r="N813" s="494">
        <v>0</v>
      </c>
      <c r="O813" s="494">
        <v>0</v>
      </c>
      <c r="P813" s="494">
        <v>0</v>
      </c>
      <c r="Q813" s="494">
        <v>0</v>
      </c>
      <c r="R813" s="494">
        <v>0</v>
      </c>
      <c r="S813" s="494">
        <v>0</v>
      </c>
      <c r="T813" s="494">
        <v>0</v>
      </c>
      <c r="U813" s="494">
        <v>0</v>
      </c>
      <c r="V813" s="494">
        <v>0</v>
      </c>
      <c r="W813" s="494">
        <v>0</v>
      </c>
      <c r="X813" s="494">
        <v>0</v>
      </c>
      <c r="Y813" s="494">
        <v>0</v>
      </c>
      <c r="Z813" s="494">
        <v>0</v>
      </c>
      <c r="AA813" s="494">
        <v>0</v>
      </c>
      <c r="AB813" s="494">
        <v>0</v>
      </c>
      <c r="AC813" s="494">
        <v>0</v>
      </c>
      <c r="AD813" s="494">
        <v>0</v>
      </c>
      <c r="AE813" s="494">
        <v>0</v>
      </c>
      <c r="AF813" s="494">
        <v>0</v>
      </c>
      <c r="AG813" s="494">
        <v>0</v>
      </c>
      <c r="AH813" s="494">
        <v>0</v>
      </c>
      <c r="AI813" s="494">
        <v>0</v>
      </c>
      <c r="AJ813" s="494">
        <v>0</v>
      </c>
      <c r="AK813" s="494">
        <v>0</v>
      </c>
      <c r="AL813" s="494">
        <v>0</v>
      </c>
      <c r="AM813" s="494">
        <v>0</v>
      </c>
      <c r="AN813" s="494">
        <v>0</v>
      </c>
      <c r="AO813" s="494">
        <v>0</v>
      </c>
      <c r="AP813" s="494">
        <v>0</v>
      </c>
      <c r="AQ813" s="494">
        <v>0</v>
      </c>
      <c r="AR813" s="494">
        <v>0</v>
      </c>
      <c r="AS813" s="494">
        <v>0</v>
      </c>
      <c r="AT813" s="494">
        <v>0</v>
      </c>
      <c r="AU813" s="494">
        <v>0</v>
      </c>
      <c r="AV813" s="494">
        <v>0</v>
      </c>
      <c r="AW813" s="494">
        <v>0</v>
      </c>
      <c r="AX813" s="494">
        <v>0</v>
      </c>
      <c r="AY813" s="494">
        <v>0</v>
      </c>
      <c r="AZ813" s="494">
        <v>0</v>
      </c>
      <c r="BA813" s="494">
        <v>0</v>
      </c>
      <c r="BB813" s="494">
        <v>0</v>
      </c>
      <c r="BC813" s="494">
        <v>0</v>
      </c>
      <c r="BD813" s="494">
        <v>0</v>
      </c>
      <c r="BE813" s="495">
        <v>0</v>
      </c>
    </row>
    <row r="814" spans="2:57" x14ac:dyDescent="0.25">
      <c r="B814" s="487"/>
      <c r="C814" s="488"/>
      <c r="D814" s="488"/>
      <c r="E814" s="488"/>
      <c r="F814" s="488"/>
      <c r="G814" s="488"/>
      <c r="H814" s="488"/>
      <c r="I814" s="488"/>
      <c r="J814" s="488"/>
      <c r="K814" s="488"/>
      <c r="L814" s="488"/>
      <c r="M814" s="488"/>
      <c r="N814" s="488"/>
      <c r="O814" s="488"/>
      <c r="P814" s="488"/>
      <c r="Q814" s="488"/>
      <c r="R814" s="488"/>
      <c r="S814" s="488"/>
      <c r="T814" s="488"/>
      <c r="U814" s="488"/>
      <c r="V814" s="488"/>
      <c r="W814" s="488"/>
      <c r="X814" s="488"/>
      <c r="Y814" s="488"/>
      <c r="Z814" s="488"/>
      <c r="AA814" s="488"/>
      <c r="AB814" s="488"/>
      <c r="AC814" s="488"/>
      <c r="AD814" s="488"/>
      <c r="AE814" s="488"/>
      <c r="AF814" s="488"/>
      <c r="AG814" s="488"/>
      <c r="AH814" s="488"/>
      <c r="AI814" s="488"/>
      <c r="AJ814" s="488"/>
      <c r="AK814" s="488"/>
      <c r="AL814" s="488"/>
      <c r="AM814" s="488"/>
      <c r="AN814" s="488"/>
      <c r="AO814" s="488"/>
      <c r="AP814" s="488"/>
      <c r="AQ814" s="488"/>
      <c r="AR814" s="488"/>
      <c r="AS814" s="488"/>
      <c r="AT814" s="488"/>
      <c r="AU814" s="488"/>
      <c r="AV814" s="488"/>
      <c r="AW814" s="488"/>
      <c r="AX814" s="488"/>
      <c r="AY814" s="488"/>
      <c r="AZ814" s="488"/>
      <c r="BA814" s="488"/>
      <c r="BB814" s="488"/>
      <c r="BC814" s="488"/>
      <c r="BD814" s="488"/>
      <c r="BE814" s="489"/>
    </row>
    <row r="815" spans="2:57" x14ac:dyDescent="0.25">
      <c r="B815" s="487"/>
      <c r="C815" s="488"/>
      <c r="D815" s="488"/>
      <c r="E815" s="488"/>
      <c r="F815" s="497" t="s">
        <v>61</v>
      </c>
      <c r="G815" s="497" t="s">
        <v>62</v>
      </c>
      <c r="H815" s="488"/>
      <c r="I815" s="488"/>
      <c r="J815" s="488"/>
      <c r="K815" s="488"/>
      <c r="L815" s="488"/>
      <c r="M815" s="488"/>
      <c r="N815" s="488"/>
      <c r="O815" s="488"/>
      <c r="P815" s="488"/>
      <c r="Q815" s="488"/>
      <c r="R815" s="488"/>
      <c r="S815" s="488"/>
      <c r="T815" s="488"/>
      <c r="U815" s="488"/>
      <c r="V815" s="488"/>
      <c r="W815" s="488"/>
      <c r="X815" s="488"/>
      <c r="Y815" s="488"/>
      <c r="Z815" s="488"/>
      <c r="AA815" s="488"/>
      <c r="AB815" s="488"/>
      <c r="AC815" s="488"/>
      <c r="AD815" s="488"/>
      <c r="AE815" s="488"/>
      <c r="AF815" s="488"/>
      <c r="AG815" s="488"/>
      <c r="AH815" s="488"/>
      <c r="AI815" s="488"/>
      <c r="AJ815" s="488"/>
      <c r="AK815" s="488"/>
      <c r="AL815" s="488"/>
      <c r="AM815" s="488"/>
      <c r="AN815" s="488"/>
      <c r="AO815" s="488"/>
      <c r="AP815" s="488"/>
      <c r="AQ815" s="488"/>
      <c r="AR815" s="488"/>
      <c r="AS815" s="488"/>
      <c r="AT815" s="488"/>
      <c r="AU815" s="488"/>
      <c r="AV815" s="488"/>
      <c r="AW815" s="488"/>
      <c r="AX815" s="488"/>
      <c r="AY815" s="488"/>
      <c r="AZ815" s="488"/>
      <c r="BA815" s="488"/>
      <c r="BB815" s="488"/>
      <c r="BC815" s="488"/>
      <c r="BD815" s="488"/>
      <c r="BE815" s="489"/>
    </row>
    <row r="816" spans="2:57" x14ac:dyDescent="0.25">
      <c r="B816" s="487"/>
      <c r="C816" s="488" t="s">
        <v>57</v>
      </c>
      <c r="D816" s="488"/>
      <c r="E816" s="488"/>
      <c r="F816" s="494">
        <f>'II. Inputs, Baseline Energy Mix'!$Q$109</f>
        <v>1</v>
      </c>
      <c r="G816" s="1347">
        <f>IF('II. Inputs, Baseline Energy Mix'!$Q$15&gt;0, F816*'II. Inputs, Baseline Energy Mix'!$Q$16*'II. Inputs, Baseline Energy Mix'!$Q$17,0)</f>
        <v>0</v>
      </c>
      <c r="H816" s="1347">
        <f>$G$816*H812</f>
        <v>0</v>
      </c>
      <c r="I816" s="1347">
        <f t="shared" ref="I816:BE816" si="262">$G$816*I812</f>
        <v>0</v>
      </c>
      <c r="J816" s="1347">
        <f t="shared" si="262"/>
        <v>0</v>
      </c>
      <c r="K816" s="1347">
        <f t="shared" si="262"/>
        <v>0</v>
      </c>
      <c r="L816" s="1347">
        <f t="shared" si="262"/>
        <v>0</v>
      </c>
      <c r="M816" s="1347">
        <f t="shared" si="262"/>
        <v>0</v>
      </c>
      <c r="N816" s="1347">
        <f t="shared" si="262"/>
        <v>0</v>
      </c>
      <c r="O816" s="1347">
        <f t="shared" si="262"/>
        <v>0</v>
      </c>
      <c r="P816" s="1347">
        <f t="shared" si="262"/>
        <v>0</v>
      </c>
      <c r="Q816" s="1347">
        <f t="shared" si="262"/>
        <v>0</v>
      </c>
      <c r="R816" s="1347">
        <f t="shared" si="262"/>
        <v>0</v>
      </c>
      <c r="S816" s="1347">
        <f t="shared" si="262"/>
        <v>0</v>
      </c>
      <c r="T816" s="1347">
        <f t="shared" si="262"/>
        <v>0</v>
      </c>
      <c r="U816" s="1347">
        <f t="shared" si="262"/>
        <v>0</v>
      </c>
      <c r="V816" s="1347">
        <f t="shared" si="262"/>
        <v>0</v>
      </c>
      <c r="W816" s="1347">
        <f t="shared" si="262"/>
        <v>0</v>
      </c>
      <c r="X816" s="1347">
        <f t="shared" si="262"/>
        <v>0</v>
      </c>
      <c r="Y816" s="1347">
        <f t="shared" si="262"/>
        <v>0</v>
      </c>
      <c r="Z816" s="1347">
        <f t="shared" si="262"/>
        <v>0</v>
      </c>
      <c r="AA816" s="1347">
        <f t="shared" si="262"/>
        <v>0</v>
      </c>
      <c r="AB816" s="1347">
        <f t="shared" si="262"/>
        <v>0</v>
      </c>
      <c r="AC816" s="1347">
        <f t="shared" si="262"/>
        <v>0</v>
      </c>
      <c r="AD816" s="1347">
        <f t="shared" si="262"/>
        <v>0</v>
      </c>
      <c r="AE816" s="1347">
        <f t="shared" si="262"/>
        <v>0</v>
      </c>
      <c r="AF816" s="1347">
        <f t="shared" si="262"/>
        <v>0</v>
      </c>
      <c r="AG816" s="1347">
        <f t="shared" si="262"/>
        <v>0</v>
      </c>
      <c r="AH816" s="1347">
        <f t="shared" si="262"/>
        <v>0</v>
      </c>
      <c r="AI816" s="1347">
        <f t="shared" si="262"/>
        <v>0</v>
      </c>
      <c r="AJ816" s="1347">
        <f t="shared" si="262"/>
        <v>0</v>
      </c>
      <c r="AK816" s="1347">
        <f t="shared" si="262"/>
        <v>0</v>
      </c>
      <c r="AL816" s="1347">
        <f t="shared" si="262"/>
        <v>0</v>
      </c>
      <c r="AM816" s="1347">
        <f t="shared" si="262"/>
        <v>0</v>
      </c>
      <c r="AN816" s="1347">
        <f t="shared" si="262"/>
        <v>0</v>
      </c>
      <c r="AO816" s="1347">
        <f t="shared" si="262"/>
        <v>0</v>
      </c>
      <c r="AP816" s="1347">
        <f t="shared" si="262"/>
        <v>0</v>
      </c>
      <c r="AQ816" s="1347">
        <f t="shared" si="262"/>
        <v>0</v>
      </c>
      <c r="AR816" s="1347">
        <f t="shared" si="262"/>
        <v>0</v>
      </c>
      <c r="AS816" s="1347">
        <f t="shared" si="262"/>
        <v>0</v>
      </c>
      <c r="AT816" s="1347">
        <f t="shared" si="262"/>
        <v>0</v>
      </c>
      <c r="AU816" s="1347">
        <f t="shared" si="262"/>
        <v>0</v>
      </c>
      <c r="AV816" s="1347">
        <f t="shared" si="262"/>
        <v>0</v>
      </c>
      <c r="AW816" s="1347">
        <f t="shared" si="262"/>
        <v>0</v>
      </c>
      <c r="AX816" s="1347">
        <f t="shared" si="262"/>
        <v>0</v>
      </c>
      <c r="AY816" s="1347">
        <f t="shared" si="262"/>
        <v>0</v>
      </c>
      <c r="AZ816" s="1347">
        <f t="shared" si="262"/>
        <v>0</v>
      </c>
      <c r="BA816" s="1347">
        <f t="shared" si="262"/>
        <v>0</v>
      </c>
      <c r="BB816" s="1347">
        <f t="shared" si="262"/>
        <v>0</v>
      </c>
      <c r="BC816" s="1347">
        <f t="shared" si="262"/>
        <v>0</v>
      </c>
      <c r="BD816" s="1347">
        <f t="shared" si="262"/>
        <v>0</v>
      </c>
      <c r="BE816" s="1348">
        <f t="shared" si="262"/>
        <v>0</v>
      </c>
    </row>
    <row r="817" spans="2:57" x14ac:dyDescent="0.25">
      <c r="B817" s="487"/>
      <c r="C817" s="498" t="s">
        <v>18</v>
      </c>
      <c r="D817" s="498"/>
      <c r="E817" s="498"/>
      <c r="F817" s="499">
        <f>'II. Inputs, Baseline Energy Mix'!$Q$110</f>
        <v>0</v>
      </c>
      <c r="G817" s="1349">
        <f>IF('II. Inputs, Baseline Energy Mix'!$Q$15&gt;0, F817*'II. Inputs, Baseline Energy Mix'!$Q$16*'II. Inputs, Baseline Energy Mix'!$Q$17,0)</f>
        <v>0</v>
      </c>
      <c r="H817" s="1349">
        <f>$G$817*H813</f>
        <v>0</v>
      </c>
      <c r="I817" s="1349">
        <f t="shared" ref="I817:BE817" si="263">$G$817*I813</f>
        <v>0</v>
      </c>
      <c r="J817" s="1349">
        <f t="shared" si="263"/>
        <v>0</v>
      </c>
      <c r="K817" s="1349">
        <f t="shared" si="263"/>
        <v>0</v>
      </c>
      <c r="L817" s="1349">
        <f t="shared" si="263"/>
        <v>0</v>
      </c>
      <c r="M817" s="1349">
        <f t="shared" si="263"/>
        <v>0</v>
      </c>
      <c r="N817" s="1349">
        <f t="shared" si="263"/>
        <v>0</v>
      </c>
      <c r="O817" s="1349">
        <f t="shared" si="263"/>
        <v>0</v>
      </c>
      <c r="P817" s="1349">
        <f t="shared" si="263"/>
        <v>0</v>
      </c>
      <c r="Q817" s="1349">
        <f t="shared" si="263"/>
        <v>0</v>
      </c>
      <c r="R817" s="1349">
        <f t="shared" si="263"/>
        <v>0</v>
      </c>
      <c r="S817" s="1349">
        <f t="shared" si="263"/>
        <v>0</v>
      </c>
      <c r="T817" s="1349">
        <f t="shared" si="263"/>
        <v>0</v>
      </c>
      <c r="U817" s="1349">
        <f t="shared" si="263"/>
        <v>0</v>
      </c>
      <c r="V817" s="1349">
        <f t="shared" si="263"/>
        <v>0</v>
      </c>
      <c r="W817" s="1349">
        <f t="shared" si="263"/>
        <v>0</v>
      </c>
      <c r="X817" s="1349">
        <f t="shared" si="263"/>
        <v>0</v>
      </c>
      <c r="Y817" s="1349">
        <f t="shared" si="263"/>
        <v>0</v>
      </c>
      <c r="Z817" s="1349">
        <f t="shared" si="263"/>
        <v>0</v>
      </c>
      <c r="AA817" s="1349">
        <f t="shared" si="263"/>
        <v>0</v>
      </c>
      <c r="AB817" s="1349">
        <f t="shared" si="263"/>
        <v>0</v>
      </c>
      <c r="AC817" s="1349">
        <f t="shared" si="263"/>
        <v>0</v>
      </c>
      <c r="AD817" s="1349">
        <f t="shared" si="263"/>
        <v>0</v>
      </c>
      <c r="AE817" s="1349">
        <f t="shared" si="263"/>
        <v>0</v>
      </c>
      <c r="AF817" s="1349">
        <f t="shared" si="263"/>
        <v>0</v>
      </c>
      <c r="AG817" s="1349">
        <f t="shared" si="263"/>
        <v>0</v>
      </c>
      <c r="AH817" s="1349">
        <f t="shared" si="263"/>
        <v>0</v>
      </c>
      <c r="AI817" s="1349">
        <f t="shared" si="263"/>
        <v>0</v>
      </c>
      <c r="AJ817" s="1349">
        <f t="shared" si="263"/>
        <v>0</v>
      </c>
      <c r="AK817" s="1349">
        <f t="shared" si="263"/>
        <v>0</v>
      </c>
      <c r="AL817" s="1349">
        <f t="shared" si="263"/>
        <v>0</v>
      </c>
      <c r="AM817" s="1349">
        <f t="shared" si="263"/>
        <v>0</v>
      </c>
      <c r="AN817" s="1349">
        <f t="shared" si="263"/>
        <v>0</v>
      </c>
      <c r="AO817" s="1349">
        <f t="shared" si="263"/>
        <v>0</v>
      </c>
      <c r="AP817" s="1349">
        <f t="shared" si="263"/>
        <v>0</v>
      </c>
      <c r="AQ817" s="1349">
        <f t="shared" si="263"/>
        <v>0</v>
      </c>
      <c r="AR817" s="1349">
        <f t="shared" si="263"/>
        <v>0</v>
      </c>
      <c r="AS817" s="1349">
        <f t="shared" si="263"/>
        <v>0</v>
      </c>
      <c r="AT817" s="1349">
        <f t="shared" si="263"/>
        <v>0</v>
      </c>
      <c r="AU817" s="1349">
        <f t="shared" si="263"/>
        <v>0</v>
      </c>
      <c r="AV817" s="1349">
        <f t="shared" si="263"/>
        <v>0</v>
      </c>
      <c r="AW817" s="1349">
        <f t="shared" si="263"/>
        <v>0</v>
      </c>
      <c r="AX817" s="1349">
        <f t="shared" si="263"/>
        <v>0</v>
      </c>
      <c r="AY817" s="1349">
        <f t="shared" si="263"/>
        <v>0</v>
      </c>
      <c r="AZ817" s="1349">
        <f t="shared" si="263"/>
        <v>0</v>
      </c>
      <c r="BA817" s="1349">
        <f t="shared" si="263"/>
        <v>0</v>
      </c>
      <c r="BB817" s="1349">
        <f t="shared" si="263"/>
        <v>0</v>
      </c>
      <c r="BC817" s="1349">
        <f t="shared" si="263"/>
        <v>0</v>
      </c>
      <c r="BD817" s="1349">
        <f t="shared" si="263"/>
        <v>0</v>
      </c>
      <c r="BE817" s="1350">
        <f t="shared" si="263"/>
        <v>0</v>
      </c>
    </row>
    <row r="818" spans="2:57" x14ac:dyDescent="0.25">
      <c r="B818" s="487"/>
      <c r="C818" s="488" t="s">
        <v>63</v>
      </c>
      <c r="D818" s="488"/>
      <c r="E818" s="488"/>
      <c r="F818" s="488"/>
      <c r="G818" s="1347">
        <f>G816+G817</f>
        <v>0</v>
      </c>
      <c r="H818" s="1347">
        <f>H816+H817</f>
        <v>0</v>
      </c>
      <c r="I818" s="1347">
        <f t="shared" ref="I818:BE818" si="264">I816+I817</f>
        <v>0</v>
      </c>
      <c r="J818" s="1347">
        <f t="shared" si="264"/>
        <v>0</v>
      </c>
      <c r="K818" s="1347">
        <f t="shared" si="264"/>
        <v>0</v>
      </c>
      <c r="L818" s="1347">
        <f t="shared" si="264"/>
        <v>0</v>
      </c>
      <c r="M818" s="1347">
        <f t="shared" si="264"/>
        <v>0</v>
      </c>
      <c r="N818" s="1347">
        <f t="shared" si="264"/>
        <v>0</v>
      </c>
      <c r="O818" s="1347">
        <f t="shared" si="264"/>
        <v>0</v>
      </c>
      <c r="P818" s="1347">
        <f t="shared" si="264"/>
        <v>0</v>
      </c>
      <c r="Q818" s="1347">
        <f t="shared" si="264"/>
        <v>0</v>
      </c>
      <c r="R818" s="1347">
        <f t="shared" si="264"/>
        <v>0</v>
      </c>
      <c r="S818" s="1347">
        <f t="shared" si="264"/>
        <v>0</v>
      </c>
      <c r="T818" s="1347">
        <f t="shared" si="264"/>
        <v>0</v>
      </c>
      <c r="U818" s="1347">
        <f t="shared" si="264"/>
        <v>0</v>
      </c>
      <c r="V818" s="1347">
        <f t="shared" si="264"/>
        <v>0</v>
      </c>
      <c r="W818" s="1347">
        <f t="shared" si="264"/>
        <v>0</v>
      </c>
      <c r="X818" s="1347">
        <f t="shared" si="264"/>
        <v>0</v>
      </c>
      <c r="Y818" s="1347">
        <f t="shared" si="264"/>
        <v>0</v>
      </c>
      <c r="Z818" s="1347">
        <f t="shared" si="264"/>
        <v>0</v>
      </c>
      <c r="AA818" s="1347">
        <f t="shared" si="264"/>
        <v>0</v>
      </c>
      <c r="AB818" s="1347">
        <f t="shared" si="264"/>
        <v>0</v>
      </c>
      <c r="AC818" s="1347">
        <f t="shared" si="264"/>
        <v>0</v>
      </c>
      <c r="AD818" s="1347">
        <f t="shared" si="264"/>
        <v>0</v>
      </c>
      <c r="AE818" s="1347">
        <f t="shared" si="264"/>
        <v>0</v>
      </c>
      <c r="AF818" s="1347">
        <f t="shared" si="264"/>
        <v>0</v>
      </c>
      <c r="AG818" s="1347">
        <f t="shared" si="264"/>
        <v>0</v>
      </c>
      <c r="AH818" s="1347">
        <f t="shared" si="264"/>
        <v>0</v>
      </c>
      <c r="AI818" s="1347">
        <f t="shared" si="264"/>
        <v>0</v>
      </c>
      <c r="AJ818" s="1347">
        <f t="shared" si="264"/>
        <v>0</v>
      </c>
      <c r="AK818" s="1347">
        <f t="shared" si="264"/>
        <v>0</v>
      </c>
      <c r="AL818" s="1347">
        <f t="shared" si="264"/>
        <v>0</v>
      </c>
      <c r="AM818" s="1347">
        <f t="shared" si="264"/>
        <v>0</v>
      </c>
      <c r="AN818" s="1347">
        <f t="shared" si="264"/>
        <v>0</v>
      </c>
      <c r="AO818" s="1347">
        <f t="shared" si="264"/>
        <v>0</v>
      </c>
      <c r="AP818" s="1347">
        <f t="shared" si="264"/>
        <v>0</v>
      </c>
      <c r="AQ818" s="1347">
        <f t="shared" si="264"/>
        <v>0</v>
      </c>
      <c r="AR818" s="1347">
        <f t="shared" si="264"/>
        <v>0</v>
      </c>
      <c r="AS818" s="1347">
        <f t="shared" si="264"/>
        <v>0</v>
      </c>
      <c r="AT818" s="1347">
        <f t="shared" si="264"/>
        <v>0</v>
      </c>
      <c r="AU818" s="1347">
        <f t="shared" si="264"/>
        <v>0</v>
      </c>
      <c r="AV818" s="1347">
        <f t="shared" si="264"/>
        <v>0</v>
      </c>
      <c r="AW818" s="1347">
        <f t="shared" si="264"/>
        <v>0</v>
      </c>
      <c r="AX818" s="1347">
        <f t="shared" si="264"/>
        <v>0</v>
      </c>
      <c r="AY818" s="1347">
        <f t="shared" si="264"/>
        <v>0</v>
      </c>
      <c r="AZ818" s="1347">
        <f t="shared" si="264"/>
        <v>0</v>
      </c>
      <c r="BA818" s="1347">
        <f t="shared" si="264"/>
        <v>0</v>
      </c>
      <c r="BB818" s="1347">
        <f t="shared" si="264"/>
        <v>0</v>
      </c>
      <c r="BC818" s="1347">
        <f t="shared" si="264"/>
        <v>0</v>
      </c>
      <c r="BD818" s="1347">
        <f t="shared" si="264"/>
        <v>0</v>
      </c>
      <c r="BE818" s="1348">
        <f t="shared" si="264"/>
        <v>0</v>
      </c>
    </row>
    <row r="819" spans="2:57" x14ac:dyDescent="0.25">
      <c r="B819" s="487"/>
      <c r="C819" s="488"/>
      <c r="D819" s="488"/>
      <c r="E819" s="488"/>
      <c r="F819" s="488"/>
      <c r="G819" s="488"/>
      <c r="H819" s="488"/>
      <c r="I819" s="488"/>
      <c r="J819" s="488"/>
      <c r="K819" s="488"/>
      <c r="L819" s="488"/>
      <c r="M819" s="488"/>
      <c r="N819" s="488"/>
      <c r="O819" s="488"/>
      <c r="P819" s="488"/>
      <c r="Q819" s="488"/>
      <c r="R819" s="488"/>
      <c r="S819" s="488"/>
      <c r="T819" s="488"/>
      <c r="U819" s="488"/>
      <c r="V819" s="488"/>
      <c r="W819" s="488"/>
      <c r="X819" s="488"/>
      <c r="Y819" s="488"/>
      <c r="Z819" s="488"/>
      <c r="AA819" s="488"/>
      <c r="AB819" s="488"/>
      <c r="AC819" s="488"/>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88"/>
      <c r="AY819" s="488"/>
      <c r="AZ819" s="488"/>
      <c r="BA819" s="488"/>
      <c r="BB819" s="488"/>
      <c r="BC819" s="488"/>
      <c r="BD819" s="488"/>
      <c r="BE819" s="489"/>
    </row>
    <row r="820" spans="2:57" x14ac:dyDescent="0.25">
      <c r="B820" s="500"/>
      <c r="C820" s="498"/>
      <c r="D820" s="498"/>
      <c r="E820" s="498"/>
      <c r="F820" s="498"/>
      <c r="G820" s="498"/>
      <c r="H820" s="498"/>
      <c r="I820" s="498"/>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c r="AJ820" s="498"/>
      <c r="AK820" s="498"/>
      <c r="AL820" s="498"/>
      <c r="AM820" s="498"/>
      <c r="AN820" s="498"/>
      <c r="AO820" s="498"/>
      <c r="AP820" s="498"/>
      <c r="AQ820" s="498"/>
      <c r="AR820" s="498"/>
      <c r="AS820" s="498"/>
      <c r="AT820" s="498"/>
      <c r="AU820" s="498"/>
      <c r="AV820" s="498"/>
      <c r="AW820" s="498"/>
      <c r="AX820" s="498"/>
      <c r="AY820" s="498"/>
      <c r="AZ820" s="498"/>
      <c r="BA820" s="498"/>
      <c r="BB820" s="498"/>
      <c r="BC820" s="498"/>
      <c r="BD820" s="498"/>
      <c r="BE820" s="501"/>
    </row>
    <row r="821" spans="2:57" x14ac:dyDescent="0.25"/>
    <row r="822" spans="2:57" x14ac:dyDescent="0.25">
      <c r="B822" s="502"/>
      <c r="C822" s="503" t="str">
        <f>'II. Inputs, Baseline Energy Mix'!$R$14</f>
        <v>Heavy Fuel Oil</v>
      </c>
      <c r="D822" s="504"/>
      <c r="E822" s="504"/>
      <c r="F822" s="504"/>
      <c r="G822" s="504"/>
      <c r="H822" s="504"/>
      <c r="I822" s="504"/>
      <c r="J822" s="504"/>
      <c r="K822" s="504"/>
      <c r="L822" s="504"/>
      <c r="M822" s="504"/>
      <c r="N822" s="504"/>
      <c r="O822" s="504"/>
      <c r="P822" s="504"/>
      <c r="Q822" s="504"/>
      <c r="R822" s="504"/>
      <c r="S822" s="504"/>
      <c r="T822" s="504"/>
      <c r="U822" s="504"/>
      <c r="V822" s="504"/>
      <c r="W822" s="504"/>
      <c r="X822" s="504"/>
      <c r="Y822" s="504"/>
      <c r="Z822" s="504"/>
      <c r="AA822" s="504"/>
      <c r="AB822" s="504"/>
      <c r="AC822" s="504"/>
      <c r="AD822" s="504"/>
      <c r="AE822" s="504"/>
      <c r="AF822" s="504"/>
      <c r="AG822" s="504"/>
      <c r="AH822" s="504"/>
      <c r="AI822" s="504"/>
      <c r="AJ822" s="504"/>
      <c r="AK822" s="504"/>
      <c r="AL822" s="504"/>
      <c r="AM822" s="504"/>
      <c r="AN822" s="504"/>
      <c r="AO822" s="504"/>
      <c r="AP822" s="504"/>
      <c r="AQ822" s="504"/>
      <c r="AR822" s="504"/>
      <c r="AS822" s="504"/>
      <c r="AT822" s="504"/>
      <c r="AU822" s="504"/>
      <c r="AV822" s="504"/>
      <c r="AW822" s="504"/>
      <c r="AX822" s="504"/>
      <c r="AY822" s="504"/>
      <c r="AZ822" s="504"/>
      <c r="BA822" s="504"/>
      <c r="BB822" s="504"/>
      <c r="BC822" s="504"/>
      <c r="BD822" s="504"/>
      <c r="BE822" s="505"/>
    </row>
    <row r="823" spans="2:57" x14ac:dyDescent="0.25">
      <c r="B823" s="506"/>
      <c r="C823" s="507"/>
      <c r="D823" s="507"/>
      <c r="E823" s="507"/>
      <c r="F823" s="507"/>
      <c r="G823" s="507"/>
      <c r="H823" s="507"/>
      <c r="I823" s="507"/>
      <c r="J823" s="507"/>
      <c r="K823" s="507"/>
      <c r="L823" s="507"/>
      <c r="M823" s="507"/>
      <c r="N823" s="507"/>
      <c r="O823" s="507"/>
      <c r="P823" s="507"/>
      <c r="Q823" s="507"/>
      <c r="R823" s="507"/>
      <c r="S823" s="507"/>
      <c r="T823" s="507"/>
      <c r="U823" s="507"/>
      <c r="V823" s="507"/>
      <c r="W823" s="507"/>
      <c r="X823" s="507"/>
      <c r="Y823" s="507"/>
      <c r="Z823" s="507"/>
      <c r="AA823" s="507"/>
      <c r="AB823" s="507"/>
      <c r="AC823" s="507"/>
      <c r="AD823" s="507"/>
      <c r="AE823" s="507"/>
      <c r="AF823" s="507"/>
      <c r="AG823" s="507"/>
      <c r="AH823" s="507"/>
      <c r="AI823" s="507"/>
      <c r="AJ823" s="507"/>
      <c r="AK823" s="507"/>
      <c r="AL823" s="507"/>
      <c r="AM823" s="507"/>
      <c r="AN823" s="507"/>
      <c r="AO823" s="507"/>
      <c r="AP823" s="507"/>
      <c r="AQ823" s="507"/>
      <c r="AR823" s="507"/>
      <c r="AS823" s="507"/>
      <c r="AT823" s="507"/>
      <c r="AU823" s="507"/>
      <c r="AV823" s="507"/>
      <c r="AW823" s="507"/>
      <c r="AX823" s="507"/>
      <c r="AY823" s="507"/>
      <c r="AZ823" s="507"/>
      <c r="BA823" s="507"/>
      <c r="BB823" s="507"/>
      <c r="BC823" s="507"/>
      <c r="BD823" s="507"/>
      <c r="BE823" s="508"/>
    </row>
    <row r="824" spans="2:57" x14ac:dyDescent="0.25">
      <c r="B824" s="506"/>
      <c r="C824" s="509" t="s">
        <v>64</v>
      </c>
      <c r="D824" s="510">
        <f>'II. Inputs, Baseline Energy Mix'!$R$18</f>
        <v>30</v>
      </c>
      <c r="E824" s="511" t="s">
        <v>20</v>
      </c>
      <c r="F824" s="507"/>
      <c r="G824" s="507"/>
      <c r="H824" s="507"/>
      <c r="I824" s="507"/>
      <c r="J824" s="507"/>
      <c r="K824" s="507"/>
      <c r="L824" s="507"/>
      <c r="M824" s="507"/>
      <c r="N824" s="507"/>
      <c r="O824" s="507"/>
      <c r="P824" s="507"/>
      <c r="Q824" s="507"/>
      <c r="R824" s="507"/>
      <c r="S824" s="507"/>
      <c r="T824" s="507"/>
      <c r="U824" s="507"/>
      <c r="V824" s="507"/>
      <c r="W824" s="507"/>
      <c r="X824" s="507"/>
      <c r="Y824" s="507"/>
      <c r="Z824" s="507"/>
      <c r="AA824" s="507"/>
      <c r="AB824" s="507"/>
      <c r="AC824" s="507"/>
      <c r="AD824" s="507"/>
      <c r="AE824" s="507"/>
      <c r="AF824" s="507"/>
      <c r="AG824" s="507"/>
      <c r="AH824" s="507"/>
      <c r="AI824" s="507"/>
      <c r="AJ824" s="507"/>
      <c r="AK824" s="507"/>
      <c r="AL824" s="507"/>
      <c r="AM824" s="507"/>
      <c r="AN824" s="507"/>
      <c r="AO824" s="507"/>
      <c r="AP824" s="507"/>
      <c r="AQ824" s="507"/>
      <c r="AR824" s="507"/>
      <c r="AS824" s="507"/>
      <c r="AT824" s="507"/>
      <c r="AU824" s="507"/>
      <c r="AV824" s="507"/>
      <c r="AW824" s="507"/>
      <c r="AX824" s="507"/>
      <c r="AY824" s="507"/>
      <c r="AZ824" s="507"/>
      <c r="BA824" s="507"/>
      <c r="BB824" s="507"/>
      <c r="BC824" s="507"/>
      <c r="BD824" s="507"/>
      <c r="BE824" s="508"/>
    </row>
    <row r="825" spans="2:57" x14ac:dyDescent="0.25">
      <c r="B825" s="506"/>
      <c r="C825" s="507"/>
      <c r="D825" s="507"/>
      <c r="E825" s="507"/>
      <c r="F825" s="507"/>
      <c r="G825" s="507"/>
      <c r="H825" s="507"/>
      <c r="I825" s="507"/>
      <c r="J825" s="507"/>
      <c r="K825" s="507"/>
      <c r="L825" s="507"/>
      <c r="M825" s="507"/>
      <c r="N825" s="507"/>
      <c r="O825" s="507"/>
      <c r="P825" s="507"/>
      <c r="Q825" s="507"/>
      <c r="R825" s="507"/>
      <c r="S825" s="507"/>
      <c r="T825" s="507"/>
      <c r="U825" s="507"/>
      <c r="V825" s="507"/>
      <c r="W825" s="507"/>
      <c r="X825" s="507"/>
      <c r="Y825" s="507"/>
      <c r="Z825" s="507"/>
      <c r="AA825" s="507"/>
      <c r="AB825" s="507"/>
      <c r="AC825" s="507"/>
      <c r="AD825" s="507"/>
      <c r="AE825" s="507"/>
      <c r="AF825" s="507"/>
      <c r="AG825" s="507"/>
      <c r="AH825" s="507"/>
      <c r="AI825" s="507"/>
      <c r="AJ825" s="507"/>
      <c r="AK825" s="507"/>
      <c r="AL825" s="507"/>
      <c r="AM825" s="507"/>
      <c r="AN825" s="507"/>
      <c r="AO825" s="507"/>
      <c r="AP825" s="507"/>
      <c r="AQ825" s="507"/>
      <c r="AR825" s="507"/>
      <c r="AS825" s="507"/>
      <c r="AT825" s="507"/>
      <c r="AU825" s="507"/>
      <c r="AV825" s="507"/>
      <c r="AW825" s="507"/>
      <c r="AX825" s="507"/>
      <c r="AY825" s="507"/>
      <c r="AZ825" s="507"/>
      <c r="BA825" s="507"/>
      <c r="BB825" s="507"/>
      <c r="BC825" s="507"/>
      <c r="BD825" s="507"/>
      <c r="BE825" s="508"/>
    </row>
    <row r="826" spans="2:57" x14ac:dyDescent="0.25">
      <c r="B826" s="506"/>
      <c r="C826" s="507" t="s">
        <v>59</v>
      </c>
      <c r="D826" s="507"/>
      <c r="E826" s="507"/>
      <c r="F826" s="507"/>
      <c r="G826" s="512"/>
      <c r="H826" s="513">
        <f>IF(H$764&gt;$D$824,0,1/$D$824)</f>
        <v>3.3333333333333333E-2</v>
      </c>
      <c r="I826" s="513">
        <f t="shared" ref="I826:BE826" si="265">IF(I$764&gt;$D$824,0,1/$D$824)</f>
        <v>3.3333333333333333E-2</v>
      </c>
      <c r="J826" s="513">
        <f t="shared" si="265"/>
        <v>3.3333333333333333E-2</v>
      </c>
      <c r="K826" s="513">
        <f t="shared" si="265"/>
        <v>3.3333333333333333E-2</v>
      </c>
      <c r="L826" s="513">
        <f t="shared" si="265"/>
        <v>3.3333333333333333E-2</v>
      </c>
      <c r="M826" s="513">
        <f t="shared" si="265"/>
        <v>3.3333333333333333E-2</v>
      </c>
      <c r="N826" s="513">
        <f t="shared" si="265"/>
        <v>3.3333333333333333E-2</v>
      </c>
      <c r="O826" s="513">
        <f t="shared" si="265"/>
        <v>3.3333333333333333E-2</v>
      </c>
      <c r="P826" s="513">
        <f t="shared" si="265"/>
        <v>3.3333333333333333E-2</v>
      </c>
      <c r="Q826" s="513">
        <f t="shared" si="265"/>
        <v>3.3333333333333333E-2</v>
      </c>
      <c r="R826" s="513">
        <f t="shared" si="265"/>
        <v>3.3333333333333333E-2</v>
      </c>
      <c r="S826" s="513">
        <f t="shared" si="265"/>
        <v>3.3333333333333333E-2</v>
      </c>
      <c r="T826" s="513">
        <f t="shared" si="265"/>
        <v>3.3333333333333333E-2</v>
      </c>
      <c r="U826" s="513">
        <f t="shared" si="265"/>
        <v>3.3333333333333333E-2</v>
      </c>
      <c r="V826" s="513">
        <f t="shared" si="265"/>
        <v>3.3333333333333333E-2</v>
      </c>
      <c r="W826" s="513">
        <f t="shared" si="265"/>
        <v>3.3333333333333333E-2</v>
      </c>
      <c r="X826" s="513">
        <f t="shared" si="265"/>
        <v>3.3333333333333333E-2</v>
      </c>
      <c r="Y826" s="513">
        <f t="shared" si="265"/>
        <v>3.3333333333333333E-2</v>
      </c>
      <c r="Z826" s="513">
        <f t="shared" si="265"/>
        <v>3.3333333333333333E-2</v>
      </c>
      <c r="AA826" s="513">
        <f t="shared" si="265"/>
        <v>3.3333333333333333E-2</v>
      </c>
      <c r="AB826" s="513">
        <f t="shared" si="265"/>
        <v>3.3333333333333333E-2</v>
      </c>
      <c r="AC826" s="513">
        <f t="shared" si="265"/>
        <v>3.3333333333333333E-2</v>
      </c>
      <c r="AD826" s="513">
        <f t="shared" si="265"/>
        <v>3.3333333333333333E-2</v>
      </c>
      <c r="AE826" s="513">
        <f t="shared" si="265"/>
        <v>3.3333333333333333E-2</v>
      </c>
      <c r="AF826" s="513">
        <f t="shared" si="265"/>
        <v>3.3333333333333333E-2</v>
      </c>
      <c r="AG826" s="513">
        <f t="shared" si="265"/>
        <v>3.3333333333333333E-2</v>
      </c>
      <c r="AH826" s="513">
        <f t="shared" si="265"/>
        <v>3.3333333333333333E-2</v>
      </c>
      <c r="AI826" s="513">
        <f t="shared" si="265"/>
        <v>3.3333333333333333E-2</v>
      </c>
      <c r="AJ826" s="513">
        <f t="shared" si="265"/>
        <v>3.3333333333333333E-2</v>
      </c>
      <c r="AK826" s="513">
        <f t="shared" si="265"/>
        <v>3.3333333333333333E-2</v>
      </c>
      <c r="AL826" s="513">
        <f t="shared" si="265"/>
        <v>0</v>
      </c>
      <c r="AM826" s="513">
        <f t="shared" si="265"/>
        <v>0</v>
      </c>
      <c r="AN826" s="513">
        <f t="shared" si="265"/>
        <v>0</v>
      </c>
      <c r="AO826" s="513">
        <f t="shared" si="265"/>
        <v>0</v>
      </c>
      <c r="AP826" s="513">
        <f t="shared" si="265"/>
        <v>0</v>
      </c>
      <c r="AQ826" s="513">
        <f t="shared" si="265"/>
        <v>0</v>
      </c>
      <c r="AR826" s="513">
        <f t="shared" si="265"/>
        <v>0</v>
      </c>
      <c r="AS826" s="513">
        <f t="shared" si="265"/>
        <v>0</v>
      </c>
      <c r="AT826" s="513">
        <f t="shared" si="265"/>
        <v>0</v>
      </c>
      <c r="AU826" s="513">
        <f t="shared" si="265"/>
        <v>0</v>
      </c>
      <c r="AV826" s="513">
        <f t="shared" si="265"/>
        <v>0</v>
      </c>
      <c r="AW826" s="513">
        <f t="shared" si="265"/>
        <v>0</v>
      </c>
      <c r="AX826" s="513">
        <f t="shared" si="265"/>
        <v>0</v>
      </c>
      <c r="AY826" s="513">
        <f t="shared" si="265"/>
        <v>0</v>
      </c>
      <c r="AZ826" s="513">
        <f t="shared" si="265"/>
        <v>0</v>
      </c>
      <c r="BA826" s="513">
        <f t="shared" si="265"/>
        <v>0</v>
      </c>
      <c r="BB826" s="513">
        <f t="shared" si="265"/>
        <v>0</v>
      </c>
      <c r="BC826" s="513">
        <f t="shared" si="265"/>
        <v>0</v>
      </c>
      <c r="BD826" s="513">
        <f t="shared" si="265"/>
        <v>0</v>
      </c>
      <c r="BE826" s="514">
        <f t="shared" si="265"/>
        <v>0</v>
      </c>
    </row>
    <row r="827" spans="2:57" x14ac:dyDescent="0.25">
      <c r="B827" s="506"/>
      <c r="C827" s="507" t="s">
        <v>60</v>
      </c>
      <c r="D827" s="507"/>
      <c r="E827" s="507"/>
      <c r="F827" s="507"/>
      <c r="G827" s="515"/>
      <c r="H827" s="513">
        <v>0</v>
      </c>
      <c r="I827" s="513">
        <v>0</v>
      </c>
      <c r="J827" s="513">
        <v>0</v>
      </c>
      <c r="K827" s="513">
        <v>0</v>
      </c>
      <c r="L827" s="513">
        <v>0</v>
      </c>
      <c r="M827" s="513">
        <v>0</v>
      </c>
      <c r="N827" s="513">
        <v>0</v>
      </c>
      <c r="O827" s="513">
        <v>0</v>
      </c>
      <c r="P827" s="513">
        <v>0</v>
      </c>
      <c r="Q827" s="513">
        <v>0</v>
      </c>
      <c r="R827" s="513">
        <v>0</v>
      </c>
      <c r="S827" s="513">
        <v>0</v>
      </c>
      <c r="T827" s="513">
        <v>0</v>
      </c>
      <c r="U827" s="513">
        <v>0</v>
      </c>
      <c r="V827" s="513">
        <v>0</v>
      </c>
      <c r="W827" s="513">
        <v>0</v>
      </c>
      <c r="X827" s="513">
        <v>0</v>
      </c>
      <c r="Y827" s="513">
        <v>0</v>
      </c>
      <c r="Z827" s="513">
        <v>0</v>
      </c>
      <c r="AA827" s="513">
        <v>0</v>
      </c>
      <c r="AB827" s="513">
        <v>0</v>
      </c>
      <c r="AC827" s="513">
        <v>0</v>
      </c>
      <c r="AD827" s="513">
        <v>0</v>
      </c>
      <c r="AE827" s="513">
        <v>0</v>
      </c>
      <c r="AF827" s="513">
        <v>0</v>
      </c>
      <c r="AG827" s="513">
        <v>0</v>
      </c>
      <c r="AH827" s="513">
        <v>0</v>
      </c>
      <c r="AI827" s="513">
        <v>0</v>
      </c>
      <c r="AJ827" s="513">
        <v>0</v>
      </c>
      <c r="AK827" s="513">
        <v>0</v>
      </c>
      <c r="AL827" s="513">
        <v>0</v>
      </c>
      <c r="AM827" s="513">
        <v>0</v>
      </c>
      <c r="AN827" s="513">
        <v>0</v>
      </c>
      <c r="AO827" s="513">
        <v>0</v>
      </c>
      <c r="AP827" s="513">
        <v>0</v>
      </c>
      <c r="AQ827" s="513">
        <v>0</v>
      </c>
      <c r="AR827" s="513">
        <v>0</v>
      </c>
      <c r="AS827" s="513">
        <v>0</v>
      </c>
      <c r="AT827" s="513">
        <v>0</v>
      </c>
      <c r="AU827" s="513">
        <v>0</v>
      </c>
      <c r="AV827" s="513">
        <v>0</v>
      </c>
      <c r="AW827" s="513">
        <v>0</v>
      </c>
      <c r="AX827" s="513">
        <v>0</v>
      </c>
      <c r="AY827" s="513">
        <v>0</v>
      </c>
      <c r="AZ827" s="513">
        <v>0</v>
      </c>
      <c r="BA827" s="513">
        <v>0</v>
      </c>
      <c r="BB827" s="513">
        <v>0</v>
      </c>
      <c r="BC827" s="513">
        <v>0</v>
      </c>
      <c r="BD827" s="513">
        <v>0</v>
      </c>
      <c r="BE827" s="514">
        <v>0</v>
      </c>
    </row>
    <row r="828" spans="2:57" x14ac:dyDescent="0.25">
      <c r="B828" s="506"/>
      <c r="C828" s="507"/>
      <c r="D828" s="507"/>
      <c r="E828" s="507"/>
      <c r="F828" s="507"/>
      <c r="G828" s="507"/>
      <c r="H828" s="507"/>
      <c r="I828" s="507"/>
      <c r="J828" s="507"/>
      <c r="K828" s="507"/>
      <c r="L828" s="507"/>
      <c r="M828" s="507"/>
      <c r="N828" s="507"/>
      <c r="O828" s="507"/>
      <c r="P828" s="507"/>
      <c r="Q828" s="507"/>
      <c r="R828" s="507"/>
      <c r="S828" s="507"/>
      <c r="T828" s="507"/>
      <c r="U828" s="507"/>
      <c r="V828" s="507"/>
      <c r="W828" s="507"/>
      <c r="X828" s="507"/>
      <c r="Y828" s="507"/>
      <c r="Z828" s="507"/>
      <c r="AA828" s="507"/>
      <c r="AB828" s="507"/>
      <c r="AC828" s="507"/>
      <c r="AD828" s="507"/>
      <c r="AE828" s="507"/>
      <c r="AF828" s="507"/>
      <c r="AG828" s="507"/>
      <c r="AH828" s="507"/>
      <c r="AI828" s="507"/>
      <c r="AJ828" s="507"/>
      <c r="AK828" s="507"/>
      <c r="AL828" s="507"/>
      <c r="AM828" s="507"/>
      <c r="AN828" s="507"/>
      <c r="AO828" s="507"/>
      <c r="AP828" s="507"/>
      <c r="AQ828" s="507"/>
      <c r="AR828" s="507"/>
      <c r="AS828" s="507"/>
      <c r="AT828" s="507"/>
      <c r="AU828" s="507"/>
      <c r="AV828" s="507"/>
      <c r="AW828" s="507"/>
      <c r="AX828" s="507"/>
      <c r="AY828" s="507"/>
      <c r="AZ828" s="507"/>
      <c r="BA828" s="507"/>
      <c r="BB828" s="507"/>
      <c r="BC828" s="507"/>
      <c r="BD828" s="507"/>
      <c r="BE828" s="508"/>
    </row>
    <row r="829" spans="2:57" x14ac:dyDescent="0.25">
      <c r="B829" s="506"/>
      <c r="C829" s="507"/>
      <c r="D829" s="507"/>
      <c r="E829" s="507"/>
      <c r="F829" s="516" t="s">
        <v>61</v>
      </c>
      <c r="G829" s="516" t="s">
        <v>62</v>
      </c>
      <c r="H829" s="507"/>
      <c r="I829" s="507"/>
      <c r="J829" s="507"/>
      <c r="K829" s="507"/>
      <c r="L829" s="507"/>
      <c r="M829" s="507"/>
      <c r="N829" s="507"/>
      <c r="O829" s="507"/>
      <c r="P829" s="507"/>
      <c r="Q829" s="507"/>
      <c r="R829" s="507"/>
      <c r="S829" s="507"/>
      <c r="T829" s="507"/>
      <c r="U829" s="507"/>
      <c r="V829" s="507"/>
      <c r="W829" s="507"/>
      <c r="X829" s="507"/>
      <c r="Y829" s="507"/>
      <c r="Z829" s="507"/>
      <c r="AA829" s="507"/>
      <c r="AB829" s="507"/>
      <c r="AC829" s="507"/>
      <c r="AD829" s="507"/>
      <c r="AE829" s="507"/>
      <c r="AF829" s="507"/>
      <c r="AG829" s="507"/>
      <c r="AH829" s="507"/>
      <c r="AI829" s="507"/>
      <c r="AJ829" s="507"/>
      <c r="AK829" s="507"/>
      <c r="AL829" s="507"/>
      <c r="AM829" s="507"/>
      <c r="AN829" s="507"/>
      <c r="AO829" s="507"/>
      <c r="AP829" s="507"/>
      <c r="AQ829" s="507"/>
      <c r="AR829" s="507"/>
      <c r="AS829" s="507"/>
      <c r="AT829" s="507"/>
      <c r="AU829" s="507"/>
      <c r="AV829" s="507"/>
      <c r="AW829" s="507"/>
      <c r="AX829" s="507"/>
      <c r="AY829" s="507"/>
      <c r="AZ829" s="507"/>
      <c r="BA829" s="507"/>
      <c r="BB829" s="507"/>
      <c r="BC829" s="507"/>
      <c r="BD829" s="507"/>
      <c r="BE829" s="508"/>
    </row>
    <row r="830" spans="2:57" x14ac:dyDescent="0.25">
      <c r="B830" s="506"/>
      <c r="C830" s="507" t="s">
        <v>57</v>
      </c>
      <c r="D830" s="507"/>
      <c r="E830" s="507"/>
      <c r="F830" s="513">
        <f>'II. Inputs, Baseline Energy Mix'!$R$109</f>
        <v>1</v>
      </c>
      <c r="G830" s="1351">
        <f>IF('II. Inputs, Baseline Energy Mix'!$R$15&gt;0, F830*'II. Inputs, Baseline Energy Mix'!$R$16*'II. Inputs, Baseline Energy Mix'!$R$17,0)</f>
        <v>0</v>
      </c>
      <c r="H830" s="1351">
        <f>$G$830*H826</f>
        <v>0</v>
      </c>
      <c r="I830" s="1351">
        <f t="shared" ref="I830:BE830" si="266">$G$830*I826</f>
        <v>0</v>
      </c>
      <c r="J830" s="1351">
        <f t="shared" si="266"/>
        <v>0</v>
      </c>
      <c r="K830" s="1351">
        <f t="shared" si="266"/>
        <v>0</v>
      </c>
      <c r="L830" s="1351">
        <f t="shared" si="266"/>
        <v>0</v>
      </c>
      <c r="M830" s="1351">
        <f t="shared" si="266"/>
        <v>0</v>
      </c>
      <c r="N830" s="1351">
        <f t="shared" si="266"/>
        <v>0</v>
      </c>
      <c r="O830" s="1351">
        <f t="shared" si="266"/>
        <v>0</v>
      </c>
      <c r="P830" s="1351">
        <f t="shared" si="266"/>
        <v>0</v>
      </c>
      <c r="Q830" s="1351">
        <f t="shared" si="266"/>
        <v>0</v>
      </c>
      <c r="R830" s="1351">
        <f t="shared" si="266"/>
        <v>0</v>
      </c>
      <c r="S830" s="1351">
        <f t="shared" si="266"/>
        <v>0</v>
      </c>
      <c r="T830" s="1351">
        <f t="shared" si="266"/>
        <v>0</v>
      </c>
      <c r="U830" s="1351">
        <f t="shared" si="266"/>
        <v>0</v>
      </c>
      <c r="V830" s="1351">
        <f t="shared" si="266"/>
        <v>0</v>
      </c>
      <c r="W830" s="1351">
        <f t="shared" si="266"/>
        <v>0</v>
      </c>
      <c r="X830" s="1351">
        <f t="shared" si="266"/>
        <v>0</v>
      </c>
      <c r="Y830" s="1351">
        <f t="shared" si="266"/>
        <v>0</v>
      </c>
      <c r="Z830" s="1351">
        <f t="shared" si="266"/>
        <v>0</v>
      </c>
      <c r="AA830" s="1351">
        <f t="shared" si="266"/>
        <v>0</v>
      </c>
      <c r="AB830" s="1351">
        <f t="shared" si="266"/>
        <v>0</v>
      </c>
      <c r="AC830" s="1351">
        <f t="shared" si="266"/>
        <v>0</v>
      </c>
      <c r="AD830" s="1351">
        <f t="shared" si="266"/>
        <v>0</v>
      </c>
      <c r="AE830" s="1351">
        <f t="shared" si="266"/>
        <v>0</v>
      </c>
      <c r="AF830" s="1351">
        <f t="shared" si="266"/>
        <v>0</v>
      </c>
      <c r="AG830" s="1351">
        <f t="shared" si="266"/>
        <v>0</v>
      </c>
      <c r="AH830" s="1351">
        <f t="shared" si="266"/>
        <v>0</v>
      </c>
      <c r="AI830" s="1351">
        <f t="shared" si="266"/>
        <v>0</v>
      </c>
      <c r="AJ830" s="1351">
        <f t="shared" si="266"/>
        <v>0</v>
      </c>
      <c r="AK830" s="1351">
        <f t="shared" si="266"/>
        <v>0</v>
      </c>
      <c r="AL830" s="1351">
        <f t="shared" si="266"/>
        <v>0</v>
      </c>
      <c r="AM830" s="1351">
        <f t="shared" si="266"/>
        <v>0</v>
      </c>
      <c r="AN830" s="1351">
        <f t="shared" si="266"/>
        <v>0</v>
      </c>
      <c r="AO830" s="1351">
        <f t="shared" si="266"/>
        <v>0</v>
      </c>
      <c r="AP830" s="1351">
        <f t="shared" si="266"/>
        <v>0</v>
      </c>
      <c r="AQ830" s="1351">
        <f t="shared" si="266"/>
        <v>0</v>
      </c>
      <c r="AR830" s="1351">
        <f t="shared" si="266"/>
        <v>0</v>
      </c>
      <c r="AS830" s="1351">
        <f t="shared" si="266"/>
        <v>0</v>
      </c>
      <c r="AT830" s="1351">
        <f t="shared" si="266"/>
        <v>0</v>
      </c>
      <c r="AU830" s="1351">
        <f t="shared" si="266"/>
        <v>0</v>
      </c>
      <c r="AV830" s="1351">
        <f t="shared" si="266"/>
        <v>0</v>
      </c>
      <c r="AW830" s="1351">
        <f t="shared" si="266"/>
        <v>0</v>
      </c>
      <c r="AX830" s="1351">
        <f t="shared" si="266"/>
        <v>0</v>
      </c>
      <c r="AY830" s="1351">
        <f t="shared" si="266"/>
        <v>0</v>
      </c>
      <c r="AZ830" s="1351">
        <f t="shared" si="266"/>
        <v>0</v>
      </c>
      <c r="BA830" s="1351">
        <f t="shared" si="266"/>
        <v>0</v>
      </c>
      <c r="BB830" s="1351">
        <f t="shared" si="266"/>
        <v>0</v>
      </c>
      <c r="BC830" s="1351">
        <f t="shared" si="266"/>
        <v>0</v>
      </c>
      <c r="BD830" s="1351">
        <f t="shared" si="266"/>
        <v>0</v>
      </c>
      <c r="BE830" s="1352">
        <f t="shared" si="266"/>
        <v>0</v>
      </c>
    </row>
    <row r="831" spans="2:57" x14ac:dyDescent="0.25">
      <c r="B831" s="506"/>
      <c r="C831" s="517" t="s">
        <v>18</v>
      </c>
      <c r="D831" s="517"/>
      <c r="E831" s="517"/>
      <c r="F831" s="518">
        <f>'II. Inputs, Baseline Energy Mix'!$R$110</f>
        <v>0</v>
      </c>
      <c r="G831" s="1353">
        <f>IF('II. Inputs, Baseline Energy Mix'!$R$15&gt;0, F831*'II. Inputs, Baseline Energy Mix'!$R$16*'II. Inputs, Baseline Energy Mix'!$R$17,0)</f>
        <v>0</v>
      </c>
      <c r="H831" s="1353">
        <f>$G$831*H827</f>
        <v>0</v>
      </c>
      <c r="I831" s="1353">
        <f t="shared" ref="I831:BE831" si="267">$G$831*I827</f>
        <v>0</v>
      </c>
      <c r="J831" s="1353">
        <f t="shared" si="267"/>
        <v>0</v>
      </c>
      <c r="K831" s="1353">
        <f t="shared" si="267"/>
        <v>0</v>
      </c>
      <c r="L831" s="1353">
        <f t="shared" si="267"/>
        <v>0</v>
      </c>
      <c r="M831" s="1353">
        <f t="shared" si="267"/>
        <v>0</v>
      </c>
      <c r="N831" s="1353">
        <f t="shared" si="267"/>
        <v>0</v>
      </c>
      <c r="O831" s="1353">
        <f t="shared" si="267"/>
        <v>0</v>
      </c>
      <c r="P831" s="1353">
        <f t="shared" si="267"/>
        <v>0</v>
      </c>
      <c r="Q831" s="1353">
        <f t="shared" si="267"/>
        <v>0</v>
      </c>
      <c r="R831" s="1353">
        <f t="shared" si="267"/>
        <v>0</v>
      </c>
      <c r="S831" s="1353">
        <f t="shared" si="267"/>
        <v>0</v>
      </c>
      <c r="T831" s="1353">
        <f t="shared" si="267"/>
        <v>0</v>
      </c>
      <c r="U831" s="1353">
        <f t="shared" si="267"/>
        <v>0</v>
      </c>
      <c r="V831" s="1353">
        <f t="shared" si="267"/>
        <v>0</v>
      </c>
      <c r="W831" s="1353">
        <f t="shared" si="267"/>
        <v>0</v>
      </c>
      <c r="X831" s="1353">
        <f t="shared" si="267"/>
        <v>0</v>
      </c>
      <c r="Y831" s="1353">
        <f t="shared" si="267"/>
        <v>0</v>
      </c>
      <c r="Z831" s="1353">
        <f t="shared" si="267"/>
        <v>0</v>
      </c>
      <c r="AA831" s="1353">
        <f t="shared" si="267"/>
        <v>0</v>
      </c>
      <c r="AB831" s="1353">
        <f t="shared" si="267"/>
        <v>0</v>
      </c>
      <c r="AC831" s="1353">
        <f t="shared" si="267"/>
        <v>0</v>
      </c>
      <c r="AD831" s="1353">
        <f t="shared" si="267"/>
        <v>0</v>
      </c>
      <c r="AE831" s="1353">
        <f t="shared" si="267"/>
        <v>0</v>
      </c>
      <c r="AF831" s="1353">
        <f t="shared" si="267"/>
        <v>0</v>
      </c>
      <c r="AG831" s="1353">
        <f t="shared" si="267"/>
        <v>0</v>
      </c>
      <c r="AH831" s="1353">
        <f t="shared" si="267"/>
        <v>0</v>
      </c>
      <c r="AI831" s="1353">
        <f t="shared" si="267"/>
        <v>0</v>
      </c>
      <c r="AJ831" s="1353">
        <f t="shared" si="267"/>
        <v>0</v>
      </c>
      <c r="AK831" s="1353">
        <f t="shared" si="267"/>
        <v>0</v>
      </c>
      <c r="AL831" s="1353">
        <f t="shared" si="267"/>
        <v>0</v>
      </c>
      <c r="AM831" s="1353">
        <f t="shared" si="267"/>
        <v>0</v>
      </c>
      <c r="AN831" s="1353">
        <f t="shared" si="267"/>
        <v>0</v>
      </c>
      <c r="AO831" s="1353">
        <f t="shared" si="267"/>
        <v>0</v>
      </c>
      <c r="AP831" s="1353">
        <f t="shared" si="267"/>
        <v>0</v>
      </c>
      <c r="AQ831" s="1353">
        <f t="shared" si="267"/>
        <v>0</v>
      </c>
      <c r="AR831" s="1353">
        <f t="shared" si="267"/>
        <v>0</v>
      </c>
      <c r="AS831" s="1353">
        <f t="shared" si="267"/>
        <v>0</v>
      </c>
      <c r="AT831" s="1353">
        <f t="shared" si="267"/>
        <v>0</v>
      </c>
      <c r="AU831" s="1353">
        <f t="shared" si="267"/>
        <v>0</v>
      </c>
      <c r="AV831" s="1353">
        <f t="shared" si="267"/>
        <v>0</v>
      </c>
      <c r="AW831" s="1353">
        <f t="shared" si="267"/>
        <v>0</v>
      </c>
      <c r="AX831" s="1353">
        <f t="shared" si="267"/>
        <v>0</v>
      </c>
      <c r="AY831" s="1353">
        <f t="shared" si="267"/>
        <v>0</v>
      </c>
      <c r="AZ831" s="1353">
        <f t="shared" si="267"/>
        <v>0</v>
      </c>
      <c r="BA831" s="1353">
        <f t="shared" si="267"/>
        <v>0</v>
      </c>
      <c r="BB831" s="1353">
        <f t="shared" si="267"/>
        <v>0</v>
      </c>
      <c r="BC831" s="1353">
        <f t="shared" si="267"/>
        <v>0</v>
      </c>
      <c r="BD831" s="1353">
        <f t="shared" si="267"/>
        <v>0</v>
      </c>
      <c r="BE831" s="1354">
        <f t="shared" si="267"/>
        <v>0</v>
      </c>
    </row>
    <row r="832" spans="2:57" x14ac:dyDescent="0.25">
      <c r="B832" s="506"/>
      <c r="C832" s="507" t="s">
        <v>63</v>
      </c>
      <c r="D832" s="507"/>
      <c r="E832" s="507"/>
      <c r="F832" s="507"/>
      <c r="G832" s="1351">
        <f>G830+G831</f>
        <v>0</v>
      </c>
      <c r="H832" s="1351">
        <f>H830+H831</f>
        <v>0</v>
      </c>
      <c r="I832" s="1351">
        <f t="shared" ref="I832:BE832" si="268">I830+I831</f>
        <v>0</v>
      </c>
      <c r="J832" s="1351">
        <f t="shared" si="268"/>
        <v>0</v>
      </c>
      <c r="K832" s="1351">
        <f t="shared" si="268"/>
        <v>0</v>
      </c>
      <c r="L832" s="1351">
        <f t="shared" si="268"/>
        <v>0</v>
      </c>
      <c r="M832" s="1351">
        <f t="shared" si="268"/>
        <v>0</v>
      </c>
      <c r="N832" s="1351">
        <f t="shared" si="268"/>
        <v>0</v>
      </c>
      <c r="O832" s="1351">
        <f t="shared" si="268"/>
        <v>0</v>
      </c>
      <c r="P832" s="1351">
        <f t="shared" si="268"/>
        <v>0</v>
      </c>
      <c r="Q832" s="1351">
        <f t="shared" si="268"/>
        <v>0</v>
      </c>
      <c r="R832" s="1351">
        <f t="shared" si="268"/>
        <v>0</v>
      </c>
      <c r="S832" s="1351">
        <f t="shared" si="268"/>
        <v>0</v>
      </c>
      <c r="T832" s="1351">
        <f t="shared" si="268"/>
        <v>0</v>
      </c>
      <c r="U832" s="1351">
        <f t="shared" si="268"/>
        <v>0</v>
      </c>
      <c r="V832" s="1351">
        <f t="shared" si="268"/>
        <v>0</v>
      </c>
      <c r="W832" s="1351">
        <f t="shared" si="268"/>
        <v>0</v>
      </c>
      <c r="X832" s="1351">
        <f t="shared" si="268"/>
        <v>0</v>
      </c>
      <c r="Y832" s="1351">
        <f t="shared" si="268"/>
        <v>0</v>
      </c>
      <c r="Z832" s="1351">
        <f t="shared" si="268"/>
        <v>0</v>
      </c>
      <c r="AA832" s="1351">
        <f t="shared" si="268"/>
        <v>0</v>
      </c>
      <c r="AB832" s="1351">
        <f t="shared" si="268"/>
        <v>0</v>
      </c>
      <c r="AC832" s="1351">
        <f t="shared" si="268"/>
        <v>0</v>
      </c>
      <c r="AD832" s="1351">
        <f t="shared" si="268"/>
        <v>0</v>
      </c>
      <c r="AE832" s="1351">
        <f t="shared" si="268"/>
        <v>0</v>
      </c>
      <c r="AF832" s="1351">
        <f t="shared" si="268"/>
        <v>0</v>
      </c>
      <c r="AG832" s="1351">
        <f t="shared" si="268"/>
        <v>0</v>
      </c>
      <c r="AH832" s="1351">
        <f t="shared" si="268"/>
        <v>0</v>
      </c>
      <c r="AI832" s="1351">
        <f t="shared" si="268"/>
        <v>0</v>
      </c>
      <c r="AJ832" s="1351">
        <f t="shared" si="268"/>
        <v>0</v>
      </c>
      <c r="AK832" s="1351">
        <f t="shared" si="268"/>
        <v>0</v>
      </c>
      <c r="AL832" s="1351">
        <f t="shared" si="268"/>
        <v>0</v>
      </c>
      <c r="AM832" s="1351">
        <f t="shared" si="268"/>
        <v>0</v>
      </c>
      <c r="AN832" s="1351">
        <f t="shared" si="268"/>
        <v>0</v>
      </c>
      <c r="AO832" s="1351">
        <f t="shared" si="268"/>
        <v>0</v>
      </c>
      <c r="AP832" s="1351">
        <f t="shared" si="268"/>
        <v>0</v>
      </c>
      <c r="AQ832" s="1351">
        <f t="shared" si="268"/>
        <v>0</v>
      </c>
      <c r="AR832" s="1351">
        <f t="shared" si="268"/>
        <v>0</v>
      </c>
      <c r="AS832" s="1351">
        <f t="shared" si="268"/>
        <v>0</v>
      </c>
      <c r="AT832" s="1351">
        <f t="shared" si="268"/>
        <v>0</v>
      </c>
      <c r="AU832" s="1351">
        <f t="shared" si="268"/>
        <v>0</v>
      </c>
      <c r="AV832" s="1351">
        <f t="shared" si="268"/>
        <v>0</v>
      </c>
      <c r="AW832" s="1351">
        <f t="shared" si="268"/>
        <v>0</v>
      </c>
      <c r="AX832" s="1351">
        <f t="shared" si="268"/>
        <v>0</v>
      </c>
      <c r="AY832" s="1351">
        <f t="shared" si="268"/>
        <v>0</v>
      </c>
      <c r="AZ832" s="1351">
        <f t="shared" si="268"/>
        <v>0</v>
      </c>
      <c r="BA832" s="1351">
        <f t="shared" si="268"/>
        <v>0</v>
      </c>
      <c r="BB832" s="1351">
        <f t="shared" si="268"/>
        <v>0</v>
      </c>
      <c r="BC832" s="1351">
        <f t="shared" si="268"/>
        <v>0</v>
      </c>
      <c r="BD832" s="1351">
        <f t="shared" si="268"/>
        <v>0</v>
      </c>
      <c r="BE832" s="1352">
        <f t="shared" si="268"/>
        <v>0</v>
      </c>
    </row>
    <row r="833" spans="2:57" x14ac:dyDescent="0.25">
      <c r="B833" s="506"/>
      <c r="C833" s="507"/>
      <c r="D833" s="507"/>
      <c r="E833" s="507"/>
      <c r="F833" s="507"/>
      <c r="G833" s="507"/>
      <c r="H833" s="507"/>
      <c r="I833" s="507"/>
      <c r="J833" s="507"/>
      <c r="K833" s="507"/>
      <c r="L833" s="507"/>
      <c r="M833" s="507"/>
      <c r="N833" s="507"/>
      <c r="O833" s="507"/>
      <c r="P833" s="507"/>
      <c r="Q833" s="507"/>
      <c r="R833" s="507"/>
      <c r="S833" s="507"/>
      <c r="T833" s="507"/>
      <c r="U833" s="507"/>
      <c r="V833" s="507"/>
      <c r="W833" s="507"/>
      <c r="X833" s="507"/>
      <c r="Y833" s="507"/>
      <c r="Z833" s="507"/>
      <c r="AA833" s="507"/>
      <c r="AB833" s="507"/>
      <c r="AC833" s="507"/>
      <c r="AD833" s="507"/>
      <c r="AE833" s="507"/>
      <c r="AF833" s="507"/>
      <c r="AG833" s="507"/>
      <c r="AH833" s="507"/>
      <c r="AI833" s="507"/>
      <c r="AJ833" s="507"/>
      <c r="AK833" s="507"/>
      <c r="AL833" s="507"/>
      <c r="AM833" s="507"/>
      <c r="AN833" s="507"/>
      <c r="AO833" s="507"/>
      <c r="AP833" s="507"/>
      <c r="AQ833" s="507"/>
      <c r="AR833" s="507"/>
      <c r="AS833" s="507"/>
      <c r="AT833" s="507"/>
      <c r="AU833" s="507"/>
      <c r="AV833" s="507"/>
      <c r="AW833" s="507"/>
      <c r="AX833" s="507"/>
      <c r="AY833" s="507"/>
      <c r="AZ833" s="507"/>
      <c r="BA833" s="507"/>
      <c r="BB833" s="507"/>
      <c r="BC833" s="507"/>
      <c r="BD833" s="507"/>
      <c r="BE833" s="508"/>
    </row>
    <row r="834" spans="2:57" x14ac:dyDescent="0.25">
      <c r="B834" s="519"/>
      <c r="C834" s="517"/>
      <c r="D834" s="517"/>
      <c r="E834" s="517"/>
      <c r="F834" s="517"/>
      <c r="G834" s="517"/>
      <c r="H834" s="517"/>
      <c r="I834" s="517"/>
      <c r="J834" s="517"/>
      <c r="K834" s="517"/>
      <c r="L834" s="517"/>
      <c r="M834" s="517"/>
      <c r="N834" s="517"/>
      <c r="O834" s="517"/>
      <c r="P834" s="517"/>
      <c r="Q834" s="517"/>
      <c r="R834" s="517"/>
      <c r="S834" s="517"/>
      <c r="T834" s="517"/>
      <c r="U834" s="517"/>
      <c r="V834" s="517"/>
      <c r="W834" s="517"/>
      <c r="X834" s="517"/>
      <c r="Y834" s="517"/>
      <c r="Z834" s="517"/>
      <c r="AA834" s="517"/>
      <c r="AB834" s="517"/>
      <c r="AC834" s="517"/>
      <c r="AD834" s="517"/>
      <c r="AE834" s="517"/>
      <c r="AF834" s="517"/>
      <c r="AG834" s="517"/>
      <c r="AH834" s="517"/>
      <c r="AI834" s="517"/>
      <c r="AJ834" s="517"/>
      <c r="AK834" s="517"/>
      <c r="AL834" s="517"/>
      <c r="AM834" s="517"/>
      <c r="AN834" s="517"/>
      <c r="AO834" s="517"/>
      <c r="AP834" s="517"/>
      <c r="AQ834" s="517"/>
      <c r="AR834" s="517"/>
      <c r="AS834" s="517"/>
      <c r="AT834" s="517"/>
      <c r="AU834" s="517"/>
      <c r="AV834" s="517"/>
      <c r="AW834" s="517"/>
      <c r="AX834" s="517"/>
      <c r="AY834" s="517"/>
      <c r="AZ834" s="517"/>
      <c r="BA834" s="517"/>
      <c r="BB834" s="517"/>
      <c r="BC834" s="517"/>
      <c r="BD834" s="517"/>
      <c r="BE834" s="520"/>
    </row>
    <row r="835" spans="2:57" x14ac:dyDescent="0.25"/>
    <row r="836" spans="2:57" x14ac:dyDescent="0.25">
      <c r="B836" s="521"/>
      <c r="C836" s="522" t="str">
        <f>'II. Inputs, Baseline Energy Mix'!$S$14</f>
        <v>Geothermal</v>
      </c>
      <c r="D836" s="523"/>
      <c r="E836" s="523"/>
      <c r="F836" s="523"/>
      <c r="G836" s="523"/>
      <c r="H836" s="523"/>
      <c r="I836" s="523"/>
      <c r="J836" s="523"/>
      <c r="K836" s="523"/>
      <c r="L836" s="523"/>
      <c r="M836" s="523"/>
      <c r="N836" s="523"/>
      <c r="O836" s="523"/>
      <c r="P836" s="523"/>
      <c r="Q836" s="523"/>
      <c r="R836" s="523"/>
      <c r="S836" s="523"/>
      <c r="T836" s="523"/>
      <c r="U836" s="523"/>
      <c r="V836" s="523"/>
      <c r="W836" s="523"/>
      <c r="X836" s="523"/>
      <c r="Y836" s="523"/>
      <c r="Z836" s="523"/>
      <c r="AA836" s="523"/>
      <c r="AB836" s="523"/>
      <c r="AC836" s="523"/>
      <c r="AD836" s="523"/>
      <c r="AE836" s="523"/>
      <c r="AF836" s="523"/>
      <c r="AG836" s="523"/>
      <c r="AH836" s="523"/>
      <c r="AI836" s="523"/>
      <c r="AJ836" s="523"/>
      <c r="AK836" s="523"/>
      <c r="AL836" s="523"/>
      <c r="AM836" s="523"/>
      <c r="AN836" s="523"/>
      <c r="AO836" s="523"/>
      <c r="AP836" s="523"/>
      <c r="AQ836" s="523"/>
      <c r="AR836" s="523"/>
      <c r="AS836" s="523"/>
      <c r="AT836" s="523"/>
      <c r="AU836" s="523"/>
      <c r="AV836" s="523"/>
      <c r="AW836" s="523"/>
      <c r="AX836" s="523"/>
      <c r="AY836" s="523"/>
      <c r="AZ836" s="523"/>
      <c r="BA836" s="523"/>
      <c r="BB836" s="523"/>
      <c r="BC836" s="523"/>
      <c r="BD836" s="523"/>
      <c r="BE836" s="524"/>
    </row>
    <row r="837" spans="2:57" x14ac:dyDescent="0.25">
      <c r="B837" s="525"/>
      <c r="C837" s="359"/>
      <c r="D837" s="359"/>
      <c r="E837" s="359"/>
      <c r="F837" s="359"/>
      <c r="G837" s="359"/>
      <c r="H837" s="359"/>
      <c r="I837" s="359"/>
      <c r="J837" s="359"/>
      <c r="K837" s="359"/>
      <c r="L837" s="359"/>
      <c r="M837" s="359"/>
      <c r="N837" s="359"/>
      <c r="O837" s="359"/>
      <c r="P837" s="359"/>
      <c r="Q837" s="359"/>
      <c r="R837" s="359"/>
      <c r="S837" s="359"/>
      <c r="T837" s="359"/>
      <c r="U837" s="359"/>
      <c r="V837" s="359"/>
      <c r="W837" s="359"/>
      <c r="X837" s="359"/>
      <c r="Y837" s="359"/>
      <c r="Z837" s="359"/>
      <c r="AA837" s="359"/>
      <c r="AB837" s="359"/>
      <c r="AC837" s="359"/>
      <c r="AD837" s="359"/>
      <c r="AE837" s="359"/>
      <c r="AF837" s="359"/>
      <c r="AG837" s="359"/>
      <c r="AH837" s="359"/>
      <c r="AI837" s="359"/>
      <c r="AJ837" s="359"/>
      <c r="AK837" s="359"/>
      <c r="AL837" s="359"/>
      <c r="AM837" s="359"/>
      <c r="AN837" s="359"/>
      <c r="AO837" s="359"/>
      <c r="AP837" s="359"/>
      <c r="AQ837" s="359"/>
      <c r="AR837" s="359"/>
      <c r="AS837" s="359"/>
      <c r="AT837" s="359"/>
      <c r="AU837" s="359"/>
      <c r="AV837" s="359"/>
      <c r="AW837" s="359"/>
      <c r="AX837" s="359"/>
      <c r="AY837" s="359"/>
      <c r="AZ837" s="359"/>
      <c r="BA837" s="359"/>
      <c r="BB837" s="359"/>
      <c r="BC837" s="359"/>
      <c r="BD837" s="359"/>
      <c r="BE837" s="526"/>
    </row>
    <row r="838" spans="2:57" x14ac:dyDescent="0.25">
      <c r="B838" s="525"/>
      <c r="C838" s="527" t="s">
        <v>64</v>
      </c>
      <c r="D838" s="528">
        <f>'II. Inputs, Baseline Energy Mix'!$S$18</f>
        <v>30</v>
      </c>
      <c r="E838" s="529" t="s">
        <v>20</v>
      </c>
      <c r="F838" s="359"/>
      <c r="G838" s="359"/>
      <c r="H838" s="359"/>
      <c r="I838" s="359"/>
      <c r="J838" s="359"/>
      <c r="K838" s="359"/>
      <c r="L838" s="359"/>
      <c r="M838" s="359"/>
      <c r="N838" s="359"/>
      <c r="O838" s="359"/>
      <c r="P838" s="359"/>
      <c r="Q838" s="359"/>
      <c r="R838" s="359"/>
      <c r="S838" s="359"/>
      <c r="T838" s="359"/>
      <c r="U838" s="359"/>
      <c r="V838" s="359"/>
      <c r="W838" s="359"/>
      <c r="X838" s="359"/>
      <c r="Y838" s="359"/>
      <c r="Z838" s="359"/>
      <c r="AA838" s="359"/>
      <c r="AB838" s="359"/>
      <c r="AC838" s="359"/>
      <c r="AD838" s="359"/>
      <c r="AE838" s="359"/>
      <c r="AF838" s="359"/>
      <c r="AG838" s="359"/>
      <c r="AH838" s="359"/>
      <c r="AI838" s="359"/>
      <c r="AJ838" s="359"/>
      <c r="AK838" s="359"/>
      <c r="AL838" s="359"/>
      <c r="AM838" s="359"/>
      <c r="AN838" s="359"/>
      <c r="AO838" s="359"/>
      <c r="AP838" s="359"/>
      <c r="AQ838" s="359"/>
      <c r="AR838" s="359"/>
      <c r="AS838" s="359"/>
      <c r="AT838" s="359"/>
      <c r="AU838" s="359"/>
      <c r="AV838" s="359"/>
      <c r="AW838" s="359"/>
      <c r="AX838" s="359"/>
      <c r="AY838" s="359"/>
      <c r="AZ838" s="359"/>
      <c r="BA838" s="359"/>
      <c r="BB838" s="359"/>
      <c r="BC838" s="359"/>
      <c r="BD838" s="359"/>
      <c r="BE838" s="526"/>
    </row>
    <row r="839" spans="2:57" x14ac:dyDescent="0.25">
      <c r="B839" s="525"/>
      <c r="C839" s="359"/>
      <c r="D839" s="359"/>
      <c r="E839" s="359"/>
      <c r="F839" s="359"/>
      <c r="G839" s="359"/>
      <c r="H839" s="359"/>
      <c r="I839" s="359"/>
      <c r="J839" s="359"/>
      <c r="K839" s="359"/>
      <c r="L839" s="359"/>
      <c r="M839" s="359"/>
      <c r="N839" s="359"/>
      <c r="O839" s="359"/>
      <c r="P839" s="359"/>
      <c r="Q839" s="359"/>
      <c r="R839" s="359"/>
      <c r="S839" s="359"/>
      <c r="T839" s="359"/>
      <c r="U839" s="359"/>
      <c r="V839" s="359"/>
      <c r="W839" s="359"/>
      <c r="X839" s="359"/>
      <c r="Y839" s="359"/>
      <c r="Z839" s="359"/>
      <c r="AA839" s="359"/>
      <c r="AB839" s="359"/>
      <c r="AC839" s="359"/>
      <c r="AD839" s="359"/>
      <c r="AE839" s="359"/>
      <c r="AF839" s="359"/>
      <c r="AG839" s="359"/>
      <c r="AH839" s="359"/>
      <c r="AI839" s="359"/>
      <c r="AJ839" s="359"/>
      <c r="AK839" s="359"/>
      <c r="AL839" s="359"/>
      <c r="AM839" s="359"/>
      <c r="AN839" s="359"/>
      <c r="AO839" s="359"/>
      <c r="AP839" s="359"/>
      <c r="AQ839" s="359"/>
      <c r="AR839" s="359"/>
      <c r="AS839" s="359"/>
      <c r="AT839" s="359"/>
      <c r="AU839" s="359"/>
      <c r="AV839" s="359"/>
      <c r="AW839" s="359"/>
      <c r="AX839" s="359"/>
      <c r="AY839" s="359"/>
      <c r="AZ839" s="359"/>
      <c r="BA839" s="359"/>
      <c r="BB839" s="359"/>
      <c r="BC839" s="359"/>
      <c r="BD839" s="359"/>
      <c r="BE839" s="526"/>
    </row>
    <row r="840" spans="2:57" x14ac:dyDescent="0.25">
      <c r="B840" s="525"/>
      <c r="C840" s="359" t="s">
        <v>59</v>
      </c>
      <c r="D840" s="359"/>
      <c r="E840" s="359"/>
      <c r="F840" s="359"/>
      <c r="G840" s="530"/>
      <c r="H840" s="531">
        <f>IF(H$764&gt;$D$838,0,1/$D$838)</f>
        <v>3.3333333333333333E-2</v>
      </c>
      <c r="I840" s="531">
        <f t="shared" ref="I840:BE840" si="269">IF(I$764&gt;$D$838,0,1/$D$838)</f>
        <v>3.3333333333333333E-2</v>
      </c>
      <c r="J840" s="531">
        <f t="shared" si="269"/>
        <v>3.3333333333333333E-2</v>
      </c>
      <c r="K840" s="531">
        <f t="shared" si="269"/>
        <v>3.3333333333333333E-2</v>
      </c>
      <c r="L840" s="531">
        <f t="shared" si="269"/>
        <v>3.3333333333333333E-2</v>
      </c>
      <c r="M840" s="531">
        <f t="shared" si="269"/>
        <v>3.3333333333333333E-2</v>
      </c>
      <c r="N840" s="531">
        <f t="shared" si="269"/>
        <v>3.3333333333333333E-2</v>
      </c>
      <c r="O840" s="531">
        <f t="shared" si="269"/>
        <v>3.3333333333333333E-2</v>
      </c>
      <c r="P840" s="531">
        <f t="shared" si="269"/>
        <v>3.3333333333333333E-2</v>
      </c>
      <c r="Q840" s="531">
        <f t="shared" si="269"/>
        <v>3.3333333333333333E-2</v>
      </c>
      <c r="R840" s="531">
        <f t="shared" si="269"/>
        <v>3.3333333333333333E-2</v>
      </c>
      <c r="S840" s="531">
        <f t="shared" si="269"/>
        <v>3.3333333333333333E-2</v>
      </c>
      <c r="T840" s="531">
        <f t="shared" si="269"/>
        <v>3.3333333333333333E-2</v>
      </c>
      <c r="U840" s="531">
        <f t="shared" si="269"/>
        <v>3.3333333333333333E-2</v>
      </c>
      <c r="V840" s="531">
        <f t="shared" si="269"/>
        <v>3.3333333333333333E-2</v>
      </c>
      <c r="W840" s="531">
        <f t="shared" si="269"/>
        <v>3.3333333333333333E-2</v>
      </c>
      <c r="X840" s="531">
        <f t="shared" si="269"/>
        <v>3.3333333333333333E-2</v>
      </c>
      <c r="Y840" s="531">
        <f t="shared" si="269"/>
        <v>3.3333333333333333E-2</v>
      </c>
      <c r="Z840" s="531">
        <f t="shared" si="269"/>
        <v>3.3333333333333333E-2</v>
      </c>
      <c r="AA840" s="531">
        <f t="shared" si="269"/>
        <v>3.3333333333333333E-2</v>
      </c>
      <c r="AB840" s="531">
        <f t="shared" si="269"/>
        <v>3.3333333333333333E-2</v>
      </c>
      <c r="AC840" s="531">
        <f t="shared" si="269"/>
        <v>3.3333333333333333E-2</v>
      </c>
      <c r="AD840" s="531">
        <f t="shared" si="269"/>
        <v>3.3333333333333333E-2</v>
      </c>
      <c r="AE840" s="531">
        <f t="shared" si="269"/>
        <v>3.3333333333333333E-2</v>
      </c>
      <c r="AF840" s="531">
        <f t="shared" si="269"/>
        <v>3.3333333333333333E-2</v>
      </c>
      <c r="AG840" s="531">
        <f t="shared" si="269"/>
        <v>3.3333333333333333E-2</v>
      </c>
      <c r="AH840" s="531">
        <f t="shared" si="269"/>
        <v>3.3333333333333333E-2</v>
      </c>
      <c r="AI840" s="531">
        <f t="shared" si="269"/>
        <v>3.3333333333333333E-2</v>
      </c>
      <c r="AJ840" s="531">
        <f t="shared" si="269"/>
        <v>3.3333333333333333E-2</v>
      </c>
      <c r="AK840" s="531">
        <f t="shared" si="269"/>
        <v>3.3333333333333333E-2</v>
      </c>
      <c r="AL840" s="531">
        <f t="shared" si="269"/>
        <v>0</v>
      </c>
      <c r="AM840" s="531">
        <f t="shared" si="269"/>
        <v>0</v>
      </c>
      <c r="AN840" s="531">
        <f t="shared" si="269"/>
        <v>0</v>
      </c>
      <c r="AO840" s="531">
        <f t="shared" si="269"/>
        <v>0</v>
      </c>
      <c r="AP840" s="531">
        <f t="shared" si="269"/>
        <v>0</v>
      </c>
      <c r="AQ840" s="531">
        <f t="shared" si="269"/>
        <v>0</v>
      </c>
      <c r="AR840" s="531">
        <f t="shared" si="269"/>
        <v>0</v>
      </c>
      <c r="AS840" s="531">
        <f t="shared" si="269"/>
        <v>0</v>
      </c>
      <c r="AT840" s="531">
        <f t="shared" si="269"/>
        <v>0</v>
      </c>
      <c r="AU840" s="531">
        <f t="shared" si="269"/>
        <v>0</v>
      </c>
      <c r="AV840" s="531">
        <f t="shared" si="269"/>
        <v>0</v>
      </c>
      <c r="AW840" s="531">
        <f t="shared" si="269"/>
        <v>0</v>
      </c>
      <c r="AX840" s="531">
        <f t="shared" si="269"/>
        <v>0</v>
      </c>
      <c r="AY840" s="531">
        <f t="shared" si="269"/>
        <v>0</v>
      </c>
      <c r="AZ840" s="531">
        <f t="shared" si="269"/>
        <v>0</v>
      </c>
      <c r="BA840" s="531">
        <f t="shared" si="269"/>
        <v>0</v>
      </c>
      <c r="BB840" s="531">
        <f t="shared" si="269"/>
        <v>0</v>
      </c>
      <c r="BC840" s="531">
        <f t="shared" si="269"/>
        <v>0</v>
      </c>
      <c r="BD840" s="531">
        <f t="shared" si="269"/>
        <v>0</v>
      </c>
      <c r="BE840" s="532">
        <f t="shared" si="269"/>
        <v>0</v>
      </c>
    </row>
    <row r="841" spans="2:57" x14ac:dyDescent="0.25">
      <c r="B841" s="525"/>
      <c r="C841" s="359" t="s">
        <v>60</v>
      </c>
      <c r="D841" s="359"/>
      <c r="E841" s="359"/>
      <c r="F841" s="359"/>
      <c r="G841" s="418"/>
      <c r="H841" s="531">
        <v>0</v>
      </c>
      <c r="I841" s="531">
        <v>0</v>
      </c>
      <c r="J841" s="531">
        <v>0</v>
      </c>
      <c r="K841" s="531">
        <v>0</v>
      </c>
      <c r="L841" s="531">
        <v>0</v>
      </c>
      <c r="M841" s="531">
        <v>0</v>
      </c>
      <c r="N841" s="531">
        <v>0</v>
      </c>
      <c r="O841" s="531">
        <v>0</v>
      </c>
      <c r="P841" s="531">
        <v>0</v>
      </c>
      <c r="Q841" s="531">
        <v>0</v>
      </c>
      <c r="R841" s="531">
        <v>0</v>
      </c>
      <c r="S841" s="531">
        <v>0</v>
      </c>
      <c r="T841" s="531">
        <v>0</v>
      </c>
      <c r="U841" s="531">
        <v>0</v>
      </c>
      <c r="V841" s="531">
        <v>0</v>
      </c>
      <c r="W841" s="531">
        <v>0</v>
      </c>
      <c r="X841" s="531">
        <v>0</v>
      </c>
      <c r="Y841" s="531">
        <v>0</v>
      </c>
      <c r="Z841" s="531">
        <v>0</v>
      </c>
      <c r="AA841" s="531">
        <v>0</v>
      </c>
      <c r="AB841" s="531">
        <v>0</v>
      </c>
      <c r="AC841" s="531">
        <v>0</v>
      </c>
      <c r="AD841" s="531">
        <v>0</v>
      </c>
      <c r="AE841" s="531">
        <v>0</v>
      </c>
      <c r="AF841" s="531">
        <v>0</v>
      </c>
      <c r="AG841" s="531">
        <v>0</v>
      </c>
      <c r="AH841" s="531">
        <v>0</v>
      </c>
      <c r="AI841" s="531">
        <v>0</v>
      </c>
      <c r="AJ841" s="531">
        <v>0</v>
      </c>
      <c r="AK841" s="531">
        <v>0</v>
      </c>
      <c r="AL841" s="531">
        <v>0</v>
      </c>
      <c r="AM841" s="531">
        <v>0</v>
      </c>
      <c r="AN841" s="531">
        <v>0</v>
      </c>
      <c r="AO841" s="531">
        <v>0</v>
      </c>
      <c r="AP841" s="531">
        <v>0</v>
      </c>
      <c r="AQ841" s="531">
        <v>0</v>
      </c>
      <c r="AR841" s="531">
        <v>0</v>
      </c>
      <c r="AS841" s="531">
        <v>0</v>
      </c>
      <c r="AT841" s="531">
        <v>0</v>
      </c>
      <c r="AU841" s="531">
        <v>0</v>
      </c>
      <c r="AV841" s="531">
        <v>0</v>
      </c>
      <c r="AW841" s="531">
        <v>0</v>
      </c>
      <c r="AX841" s="531">
        <v>0</v>
      </c>
      <c r="AY841" s="531">
        <v>0</v>
      </c>
      <c r="AZ841" s="531">
        <v>0</v>
      </c>
      <c r="BA841" s="531">
        <v>0</v>
      </c>
      <c r="BB841" s="531">
        <v>0</v>
      </c>
      <c r="BC841" s="531">
        <v>0</v>
      </c>
      <c r="BD841" s="531">
        <v>0</v>
      </c>
      <c r="BE841" s="532">
        <v>0</v>
      </c>
    </row>
    <row r="842" spans="2:57" x14ac:dyDescent="0.25">
      <c r="B842" s="525"/>
      <c r="C842" s="359"/>
      <c r="D842" s="359"/>
      <c r="E842" s="359"/>
      <c r="F842" s="359"/>
      <c r="G842" s="359"/>
      <c r="H842" s="359"/>
      <c r="I842" s="359"/>
      <c r="J842" s="359"/>
      <c r="K842" s="359"/>
      <c r="L842" s="359"/>
      <c r="M842" s="359"/>
      <c r="N842" s="359"/>
      <c r="O842" s="359"/>
      <c r="P842" s="359"/>
      <c r="Q842" s="359"/>
      <c r="R842" s="359"/>
      <c r="S842" s="359"/>
      <c r="T842" s="359"/>
      <c r="U842" s="359"/>
      <c r="V842" s="359"/>
      <c r="W842" s="359"/>
      <c r="X842" s="359"/>
      <c r="Y842" s="359"/>
      <c r="Z842" s="359"/>
      <c r="AA842" s="359"/>
      <c r="AB842" s="359"/>
      <c r="AC842" s="359"/>
      <c r="AD842" s="359"/>
      <c r="AE842" s="359"/>
      <c r="AF842" s="359"/>
      <c r="AG842" s="359"/>
      <c r="AH842" s="359"/>
      <c r="AI842" s="359"/>
      <c r="AJ842" s="359"/>
      <c r="AK842" s="359"/>
      <c r="AL842" s="359"/>
      <c r="AM842" s="359"/>
      <c r="AN842" s="359"/>
      <c r="AO842" s="359"/>
      <c r="AP842" s="359"/>
      <c r="AQ842" s="359"/>
      <c r="AR842" s="359"/>
      <c r="AS842" s="359"/>
      <c r="AT842" s="359"/>
      <c r="AU842" s="359"/>
      <c r="AV842" s="359"/>
      <c r="AW842" s="359"/>
      <c r="AX842" s="359"/>
      <c r="AY842" s="359"/>
      <c r="AZ842" s="359"/>
      <c r="BA842" s="359"/>
      <c r="BB842" s="359"/>
      <c r="BC842" s="359"/>
      <c r="BD842" s="359"/>
      <c r="BE842" s="526"/>
    </row>
    <row r="843" spans="2:57" x14ac:dyDescent="0.25">
      <c r="B843" s="525"/>
      <c r="C843" s="359"/>
      <c r="D843" s="359"/>
      <c r="E843" s="359"/>
      <c r="F843" s="533" t="s">
        <v>61</v>
      </c>
      <c r="G843" s="533" t="s">
        <v>62</v>
      </c>
      <c r="H843" s="359"/>
      <c r="I843" s="359"/>
      <c r="J843" s="359"/>
      <c r="K843" s="359"/>
      <c r="L843" s="359"/>
      <c r="M843" s="359"/>
      <c r="N843" s="359"/>
      <c r="O843" s="359"/>
      <c r="P843" s="359"/>
      <c r="Q843" s="359"/>
      <c r="R843" s="359"/>
      <c r="S843" s="359"/>
      <c r="T843" s="359"/>
      <c r="U843" s="359"/>
      <c r="V843" s="359"/>
      <c r="W843" s="359"/>
      <c r="X843" s="359"/>
      <c r="Y843" s="359"/>
      <c r="Z843" s="359"/>
      <c r="AA843" s="359"/>
      <c r="AB843" s="359"/>
      <c r="AC843" s="359"/>
      <c r="AD843" s="359"/>
      <c r="AE843" s="359"/>
      <c r="AF843" s="359"/>
      <c r="AG843" s="359"/>
      <c r="AH843" s="359"/>
      <c r="AI843" s="359"/>
      <c r="AJ843" s="359"/>
      <c r="AK843" s="359"/>
      <c r="AL843" s="359"/>
      <c r="AM843" s="359"/>
      <c r="AN843" s="359"/>
      <c r="AO843" s="359"/>
      <c r="AP843" s="359"/>
      <c r="AQ843" s="359"/>
      <c r="AR843" s="359"/>
      <c r="AS843" s="359"/>
      <c r="AT843" s="359"/>
      <c r="AU843" s="359"/>
      <c r="AV843" s="359"/>
      <c r="AW843" s="359"/>
      <c r="AX843" s="359"/>
      <c r="AY843" s="359"/>
      <c r="AZ843" s="359"/>
      <c r="BA843" s="359"/>
      <c r="BB843" s="359"/>
      <c r="BC843" s="359"/>
      <c r="BD843" s="359"/>
      <c r="BE843" s="526"/>
    </row>
    <row r="844" spans="2:57" x14ac:dyDescent="0.25">
      <c r="B844" s="525"/>
      <c r="C844" s="359" t="s">
        <v>57</v>
      </c>
      <c r="D844" s="359"/>
      <c r="E844" s="359"/>
      <c r="F844" s="531">
        <f>'II. Inputs, Baseline Energy Mix'!$S$109</f>
        <v>1</v>
      </c>
      <c r="G844" s="369">
        <f>IF('II. Inputs, Baseline Energy Mix'!$S$15&gt;0, F844*'II. Inputs, Baseline Energy Mix'!$S$16*'II. Inputs, Baseline Energy Mix'!$S$17,0)</f>
        <v>0</v>
      </c>
      <c r="H844" s="369">
        <f>$G$844*H840</f>
        <v>0</v>
      </c>
      <c r="I844" s="369">
        <f t="shared" ref="I844:BE844" si="270">$G$844*I840</f>
        <v>0</v>
      </c>
      <c r="J844" s="369">
        <f t="shared" si="270"/>
        <v>0</v>
      </c>
      <c r="K844" s="369">
        <f t="shared" si="270"/>
        <v>0</v>
      </c>
      <c r="L844" s="369">
        <f t="shared" si="270"/>
        <v>0</v>
      </c>
      <c r="M844" s="369">
        <f t="shared" si="270"/>
        <v>0</v>
      </c>
      <c r="N844" s="369">
        <f t="shared" si="270"/>
        <v>0</v>
      </c>
      <c r="O844" s="369">
        <f t="shared" si="270"/>
        <v>0</v>
      </c>
      <c r="P844" s="369">
        <f t="shared" si="270"/>
        <v>0</v>
      </c>
      <c r="Q844" s="369">
        <f t="shared" si="270"/>
        <v>0</v>
      </c>
      <c r="R844" s="369">
        <f t="shared" si="270"/>
        <v>0</v>
      </c>
      <c r="S844" s="369">
        <f t="shared" si="270"/>
        <v>0</v>
      </c>
      <c r="T844" s="369">
        <f t="shared" si="270"/>
        <v>0</v>
      </c>
      <c r="U844" s="369">
        <f t="shared" si="270"/>
        <v>0</v>
      </c>
      <c r="V844" s="369">
        <f t="shared" si="270"/>
        <v>0</v>
      </c>
      <c r="W844" s="369">
        <f t="shared" si="270"/>
        <v>0</v>
      </c>
      <c r="X844" s="369">
        <f t="shared" si="270"/>
        <v>0</v>
      </c>
      <c r="Y844" s="369">
        <f t="shared" si="270"/>
        <v>0</v>
      </c>
      <c r="Z844" s="369">
        <f t="shared" si="270"/>
        <v>0</v>
      </c>
      <c r="AA844" s="369">
        <f t="shared" si="270"/>
        <v>0</v>
      </c>
      <c r="AB844" s="369">
        <f t="shared" si="270"/>
        <v>0</v>
      </c>
      <c r="AC844" s="369">
        <f t="shared" si="270"/>
        <v>0</v>
      </c>
      <c r="AD844" s="369">
        <f t="shared" si="270"/>
        <v>0</v>
      </c>
      <c r="AE844" s="369">
        <f t="shared" si="270"/>
        <v>0</v>
      </c>
      <c r="AF844" s="369">
        <f t="shared" si="270"/>
        <v>0</v>
      </c>
      <c r="AG844" s="369">
        <f t="shared" si="270"/>
        <v>0</v>
      </c>
      <c r="AH844" s="369">
        <f t="shared" si="270"/>
        <v>0</v>
      </c>
      <c r="AI844" s="369">
        <f t="shared" si="270"/>
        <v>0</v>
      </c>
      <c r="AJ844" s="369">
        <f t="shared" si="270"/>
        <v>0</v>
      </c>
      <c r="AK844" s="369">
        <f t="shared" si="270"/>
        <v>0</v>
      </c>
      <c r="AL844" s="369">
        <f t="shared" si="270"/>
        <v>0</v>
      </c>
      <c r="AM844" s="369">
        <f t="shared" si="270"/>
        <v>0</v>
      </c>
      <c r="AN844" s="369">
        <f t="shared" si="270"/>
        <v>0</v>
      </c>
      <c r="AO844" s="369">
        <f t="shared" si="270"/>
        <v>0</v>
      </c>
      <c r="AP844" s="369">
        <f t="shared" si="270"/>
        <v>0</v>
      </c>
      <c r="AQ844" s="369">
        <f t="shared" si="270"/>
        <v>0</v>
      </c>
      <c r="AR844" s="369">
        <f t="shared" si="270"/>
        <v>0</v>
      </c>
      <c r="AS844" s="369">
        <f t="shared" si="270"/>
        <v>0</v>
      </c>
      <c r="AT844" s="369">
        <f t="shared" si="270"/>
        <v>0</v>
      </c>
      <c r="AU844" s="369">
        <f t="shared" si="270"/>
        <v>0</v>
      </c>
      <c r="AV844" s="369">
        <f t="shared" si="270"/>
        <v>0</v>
      </c>
      <c r="AW844" s="369">
        <f t="shared" si="270"/>
        <v>0</v>
      </c>
      <c r="AX844" s="369">
        <f t="shared" si="270"/>
        <v>0</v>
      </c>
      <c r="AY844" s="369">
        <f t="shared" si="270"/>
        <v>0</v>
      </c>
      <c r="AZ844" s="369">
        <f t="shared" si="270"/>
        <v>0</v>
      </c>
      <c r="BA844" s="369">
        <f t="shared" si="270"/>
        <v>0</v>
      </c>
      <c r="BB844" s="369">
        <f t="shared" si="270"/>
        <v>0</v>
      </c>
      <c r="BC844" s="369">
        <f t="shared" si="270"/>
        <v>0</v>
      </c>
      <c r="BD844" s="369">
        <f t="shared" si="270"/>
        <v>0</v>
      </c>
      <c r="BE844" s="1355">
        <f t="shared" si="270"/>
        <v>0</v>
      </c>
    </row>
    <row r="845" spans="2:57" x14ac:dyDescent="0.25">
      <c r="B845" s="525"/>
      <c r="C845" s="366" t="s">
        <v>18</v>
      </c>
      <c r="D845" s="366"/>
      <c r="E845" s="366"/>
      <c r="F845" s="534">
        <f>'II. Inputs, Baseline Energy Mix'!$S$110</f>
        <v>0</v>
      </c>
      <c r="G845" s="1336">
        <f>IF('II. Inputs, Baseline Energy Mix'!$S$15&gt;0, F845*'II. Inputs, Baseline Energy Mix'!$S$16*'II. Inputs, Baseline Energy Mix'!$S$17,0)</f>
        <v>0</v>
      </c>
      <c r="H845" s="1336">
        <f>$G$845*H841</f>
        <v>0</v>
      </c>
      <c r="I845" s="1336">
        <f t="shared" ref="I845:BE845" si="271">$G$845*I841</f>
        <v>0</v>
      </c>
      <c r="J845" s="1336">
        <f t="shared" si="271"/>
        <v>0</v>
      </c>
      <c r="K845" s="1336">
        <f t="shared" si="271"/>
        <v>0</v>
      </c>
      <c r="L845" s="1336">
        <f t="shared" si="271"/>
        <v>0</v>
      </c>
      <c r="M845" s="1336">
        <f t="shared" si="271"/>
        <v>0</v>
      </c>
      <c r="N845" s="1336">
        <f t="shared" si="271"/>
        <v>0</v>
      </c>
      <c r="O845" s="1336">
        <f t="shared" si="271"/>
        <v>0</v>
      </c>
      <c r="P845" s="1336">
        <f t="shared" si="271"/>
        <v>0</v>
      </c>
      <c r="Q845" s="1336">
        <f t="shared" si="271"/>
        <v>0</v>
      </c>
      <c r="R845" s="1336">
        <f t="shared" si="271"/>
        <v>0</v>
      </c>
      <c r="S845" s="1336">
        <f t="shared" si="271"/>
        <v>0</v>
      </c>
      <c r="T845" s="1336">
        <f t="shared" si="271"/>
        <v>0</v>
      </c>
      <c r="U845" s="1336">
        <f t="shared" si="271"/>
        <v>0</v>
      </c>
      <c r="V845" s="1336">
        <f t="shared" si="271"/>
        <v>0</v>
      </c>
      <c r="W845" s="1336">
        <f t="shared" si="271"/>
        <v>0</v>
      </c>
      <c r="X845" s="1336">
        <f t="shared" si="271"/>
        <v>0</v>
      </c>
      <c r="Y845" s="1336">
        <f t="shared" si="271"/>
        <v>0</v>
      </c>
      <c r="Z845" s="1336">
        <f t="shared" si="271"/>
        <v>0</v>
      </c>
      <c r="AA845" s="1336">
        <f t="shared" si="271"/>
        <v>0</v>
      </c>
      <c r="AB845" s="1336">
        <f t="shared" si="271"/>
        <v>0</v>
      </c>
      <c r="AC845" s="1336">
        <f t="shared" si="271"/>
        <v>0</v>
      </c>
      <c r="AD845" s="1336">
        <f t="shared" si="271"/>
        <v>0</v>
      </c>
      <c r="AE845" s="1336">
        <f t="shared" si="271"/>
        <v>0</v>
      </c>
      <c r="AF845" s="1336">
        <f t="shared" si="271"/>
        <v>0</v>
      </c>
      <c r="AG845" s="1336">
        <f t="shared" si="271"/>
        <v>0</v>
      </c>
      <c r="AH845" s="1336">
        <f t="shared" si="271"/>
        <v>0</v>
      </c>
      <c r="AI845" s="1336">
        <f t="shared" si="271"/>
        <v>0</v>
      </c>
      <c r="AJ845" s="1336">
        <f t="shared" si="271"/>
        <v>0</v>
      </c>
      <c r="AK845" s="1336">
        <f t="shared" si="271"/>
        <v>0</v>
      </c>
      <c r="AL845" s="1336">
        <f t="shared" si="271"/>
        <v>0</v>
      </c>
      <c r="AM845" s="1336">
        <f t="shared" si="271"/>
        <v>0</v>
      </c>
      <c r="AN845" s="1336">
        <f t="shared" si="271"/>
        <v>0</v>
      </c>
      <c r="AO845" s="1336">
        <f t="shared" si="271"/>
        <v>0</v>
      </c>
      <c r="AP845" s="1336">
        <f t="shared" si="271"/>
        <v>0</v>
      </c>
      <c r="AQ845" s="1336">
        <f t="shared" si="271"/>
        <v>0</v>
      </c>
      <c r="AR845" s="1336">
        <f t="shared" si="271"/>
        <v>0</v>
      </c>
      <c r="AS845" s="1336">
        <f t="shared" si="271"/>
        <v>0</v>
      </c>
      <c r="AT845" s="1336">
        <f t="shared" si="271"/>
        <v>0</v>
      </c>
      <c r="AU845" s="1336">
        <f t="shared" si="271"/>
        <v>0</v>
      </c>
      <c r="AV845" s="1336">
        <f t="shared" si="271"/>
        <v>0</v>
      </c>
      <c r="AW845" s="1336">
        <f t="shared" si="271"/>
        <v>0</v>
      </c>
      <c r="AX845" s="1336">
        <f t="shared" si="271"/>
        <v>0</v>
      </c>
      <c r="AY845" s="1336">
        <f t="shared" si="271"/>
        <v>0</v>
      </c>
      <c r="AZ845" s="1336">
        <f t="shared" si="271"/>
        <v>0</v>
      </c>
      <c r="BA845" s="1336">
        <f t="shared" si="271"/>
        <v>0</v>
      </c>
      <c r="BB845" s="1336">
        <f t="shared" si="271"/>
        <v>0</v>
      </c>
      <c r="BC845" s="1336">
        <f t="shared" si="271"/>
        <v>0</v>
      </c>
      <c r="BD845" s="1336">
        <f t="shared" si="271"/>
        <v>0</v>
      </c>
      <c r="BE845" s="1356">
        <f t="shared" si="271"/>
        <v>0</v>
      </c>
    </row>
    <row r="846" spans="2:57" x14ac:dyDescent="0.25">
      <c r="B846" s="525"/>
      <c r="C846" s="359" t="s">
        <v>63</v>
      </c>
      <c r="D846" s="359"/>
      <c r="E846" s="359"/>
      <c r="F846" s="359"/>
      <c r="G846" s="369">
        <f>G844+G845</f>
        <v>0</v>
      </c>
      <c r="H846" s="369">
        <f>H844+H845</f>
        <v>0</v>
      </c>
      <c r="I846" s="369">
        <f t="shared" ref="I846:BE846" si="272">I844+I845</f>
        <v>0</v>
      </c>
      <c r="J846" s="369">
        <f t="shared" si="272"/>
        <v>0</v>
      </c>
      <c r="K846" s="369">
        <f t="shared" si="272"/>
        <v>0</v>
      </c>
      <c r="L846" s="369">
        <f t="shared" si="272"/>
        <v>0</v>
      </c>
      <c r="M846" s="369">
        <f t="shared" si="272"/>
        <v>0</v>
      </c>
      <c r="N846" s="369">
        <f t="shared" si="272"/>
        <v>0</v>
      </c>
      <c r="O846" s="369">
        <f t="shared" si="272"/>
        <v>0</v>
      </c>
      <c r="P846" s="369">
        <f t="shared" si="272"/>
        <v>0</v>
      </c>
      <c r="Q846" s="369">
        <f t="shared" si="272"/>
        <v>0</v>
      </c>
      <c r="R846" s="369">
        <f t="shared" si="272"/>
        <v>0</v>
      </c>
      <c r="S846" s="369">
        <f t="shared" si="272"/>
        <v>0</v>
      </c>
      <c r="T846" s="369">
        <f t="shared" si="272"/>
        <v>0</v>
      </c>
      <c r="U846" s="369">
        <f t="shared" si="272"/>
        <v>0</v>
      </c>
      <c r="V846" s="369">
        <f t="shared" si="272"/>
        <v>0</v>
      </c>
      <c r="W846" s="369">
        <f t="shared" si="272"/>
        <v>0</v>
      </c>
      <c r="X846" s="369">
        <f t="shared" si="272"/>
        <v>0</v>
      </c>
      <c r="Y846" s="369">
        <f t="shared" si="272"/>
        <v>0</v>
      </c>
      <c r="Z846" s="369">
        <f t="shared" si="272"/>
        <v>0</v>
      </c>
      <c r="AA846" s="369">
        <f t="shared" si="272"/>
        <v>0</v>
      </c>
      <c r="AB846" s="369">
        <f t="shared" si="272"/>
        <v>0</v>
      </c>
      <c r="AC846" s="369">
        <f t="shared" si="272"/>
        <v>0</v>
      </c>
      <c r="AD846" s="369">
        <f t="shared" si="272"/>
        <v>0</v>
      </c>
      <c r="AE846" s="369">
        <f t="shared" si="272"/>
        <v>0</v>
      </c>
      <c r="AF846" s="369">
        <f t="shared" si="272"/>
        <v>0</v>
      </c>
      <c r="AG846" s="369">
        <f t="shared" si="272"/>
        <v>0</v>
      </c>
      <c r="AH846" s="369">
        <f t="shared" si="272"/>
        <v>0</v>
      </c>
      <c r="AI846" s="369">
        <f t="shared" si="272"/>
        <v>0</v>
      </c>
      <c r="AJ846" s="369">
        <f t="shared" si="272"/>
        <v>0</v>
      </c>
      <c r="AK846" s="369">
        <f t="shared" si="272"/>
        <v>0</v>
      </c>
      <c r="AL846" s="369">
        <f t="shared" si="272"/>
        <v>0</v>
      </c>
      <c r="AM846" s="369">
        <f t="shared" si="272"/>
        <v>0</v>
      </c>
      <c r="AN846" s="369">
        <f t="shared" si="272"/>
        <v>0</v>
      </c>
      <c r="AO846" s="369">
        <f t="shared" si="272"/>
        <v>0</v>
      </c>
      <c r="AP846" s="369">
        <f t="shared" si="272"/>
        <v>0</v>
      </c>
      <c r="AQ846" s="369">
        <f t="shared" si="272"/>
        <v>0</v>
      </c>
      <c r="AR846" s="369">
        <f t="shared" si="272"/>
        <v>0</v>
      </c>
      <c r="AS846" s="369">
        <f t="shared" si="272"/>
        <v>0</v>
      </c>
      <c r="AT846" s="369">
        <f t="shared" si="272"/>
        <v>0</v>
      </c>
      <c r="AU846" s="369">
        <f t="shared" si="272"/>
        <v>0</v>
      </c>
      <c r="AV846" s="369">
        <f t="shared" si="272"/>
        <v>0</v>
      </c>
      <c r="AW846" s="369">
        <f t="shared" si="272"/>
        <v>0</v>
      </c>
      <c r="AX846" s="369">
        <f t="shared" si="272"/>
        <v>0</v>
      </c>
      <c r="AY846" s="369">
        <f t="shared" si="272"/>
        <v>0</v>
      </c>
      <c r="AZ846" s="369">
        <f t="shared" si="272"/>
        <v>0</v>
      </c>
      <c r="BA846" s="369">
        <f t="shared" si="272"/>
        <v>0</v>
      </c>
      <c r="BB846" s="369">
        <f t="shared" si="272"/>
        <v>0</v>
      </c>
      <c r="BC846" s="369">
        <f t="shared" si="272"/>
        <v>0</v>
      </c>
      <c r="BD846" s="369">
        <f t="shared" si="272"/>
        <v>0</v>
      </c>
      <c r="BE846" s="1355">
        <f t="shared" si="272"/>
        <v>0</v>
      </c>
    </row>
    <row r="847" spans="2:57" x14ac:dyDescent="0.25">
      <c r="B847" s="525"/>
      <c r="C847" s="359"/>
      <c r="D847" s="359"/>
      <c r="E847" s="359"/>
      <c r="F847" s="359"/>
      <c r="G847" s="359"/>
      <c r="H847" s="359"/>
      <c r="I847" s="359"/>
      <c r="J847" s="359"/>
      <c r="K847" s="359"/>
      <c r="L847" s="359"/>
      <c r="M847" s="359"/>
      <c r="N847" s="359"/>
      <c r="O847" s="359"/>
      <c r="P847" s="359"/>
      <c r="Q847" s="359"/>
      <c r="R847" s="359"/>
      <c r="S847" s="359"/>
      <c r="T847" s="359"/>
      <c r="U847" s="359"/>
      <c r="V847" s="359"/>
      <c r="W847" s="359"/>
      <c r="X847" s="359"/>
      <c r="Y847" s="359"/>
      <c r="Z847" s="359"/>
      <c r="AA847" s="359"/>
      <c r="AB847" s="359"/>
      <c r="AC847" s="359"/>
      <c r="AD847" s="359"/>
      <c r="AE847" s="359"/>
      <c r="AF847" s="359"/>
      <c r="AG847" s="359"/>
      <c r="AH847" s="359"/>
      <c r="AI847" s="359"/>
      <c r="AJ847" s="359"/>
      <c r="AK847" s="359"/>
      <c r="AL847" s="359"/>
      <c r="AM847" s="359"/>
      <c r="AN847" s="359"/>
      <c r="AO847" s="359"/>
      <c r="AP847" s="359"/>
      <c r="AQ847" s="359"/>
      <c r="AR847" s="359"/>
      <c r="AS847" s="359"/>
      <c r="AT847" s="359"/>
      <c r="AU847" s="359"/>
      <c r="AV847" s="359"/>
      <c r="AW847" s="359"/>
      <c r="AX847" s="359"/>
      <c r="AY847" s="359"/>
      <c r="AZ847" s="359"/>
      <c r="BA847" s="359"/>
      <c r="BB847" s="359"/>
      <c r="BC847" s="359"/>
      <c r="BD847" s="359"/>
      <c r="BE847" s="526"/>
    </row>
    <row r="848" spans="2:57" x14ac:dyDescent="0.25">
      <c r="B848" s="535"/>
      <c r="C848" s="366"/>
      <c r="D848" s="366"/>
      <c r="E848" s="366"/>
      <c r="F848" s="366"/>
      <c r="G848" s="366"/>
      <c r="H848" s="366"/>
      <c r="I848" s="366"/>
      <c r="J848" s="366"/>
      <c r="K848" s="366"/>
      <c r="L848" s="366"/>
      <c r="M848" s="366"/>
      <c r="N848" s="366"/>
      <c r="O848" s="366"/>
      <c r="P848" s="366"/>
      <c r="Q848" s="366"/>
      <c r="R848" s="366"/>
      <c r="S848" s="366"/>
      <c r="T848" s="366"/>
      <c r="U848" s="366"/>
      <c r="V848" s="366"/>
      <c r="W848" s="366"/>
      <c r="X848" s="366"/>
      <c r="Y848" s="366"/>
      <c r="Z848" s="366"/>
      <c r="AA848" s="366"/>
      <c r="AB848" s="366"/>
      <c r="AC848" s="366"/>
      <c r="AD848" s="366"/>
      <c r="AE848" s="366"/>
      <c r="AF848" s="366"/>
      <c r="AG848" s="366"/>
      <c r="AH848" s="366"/>
      <c r="AI848" s="366"/>
      <c r="AJ848" s="366"/>
      <c r="AK848" s="366"/>
      <c r="AL848" s="366"/>
      <c r="AM848" s="366"/>
      <c r="AN848" s="366"/>
      <c r="AO848" s="366"/>
      <c r="AP848" s="366"/>
      <c r="AQ848" s="366"/>
      <c r="AR848" s="366"/>
      <c r="AS848" s="366"/>
      <c r="AT848" s="366"/>
      <c r="AU848" s="366"/>
      <c r="AV848" s="366"/>
      <c r="AW848" s="366"/>
      <c r="AX848" s="366"/>
      <c r="AY848" s="366"/>
      <c r="AZ848" s="366"/>
      <c r="BA848" s="366"/>
      <c r="BB848" s="366"/>
      <c r="BC848" s="366"/>
      <c r="BD848" s="366"/>
      <c r="BE848" s="536"/>
    </row>
    <row r="849" x14ac:dyDescent="0.25"/>
    <row r="850" x14ac:dyDescent="0.25"/>
    <row r="851" x14ac:dyDescent="0.25"/>
    <row r="852" x14ac:dyDescent="0.25"/>
    <row r="853" x14ac:dyDescent="0.25"/>
    <row r="854" x14ac:dyDescent="0.25"/>
    <row r="855" x14ac:dyDescent="0.2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7" max="26" man="1"/>
    <brk id="200" max="16383" man="1"/>
    <brk id="295" max="26" man="1"/>
    <brk id="451" max="26" man="1"/>
    <brk id="605" max="26" man="1"/>
    <brk id="761"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pane xSplit="8" ySplit="23" topLeftCell="T24" activePane="bottomRight" state="frozen"/>
      <selection pane="topRight" activeCell="I1" sqref="I1"/>
      <selection pane="bottomLeft" activeCell="A24" sqref="A24"/>
      <selection pane="bottomRight"/>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1465" t="s">
        <v>639</v>
      </c>
    </row>
    <row r="2" spans="1:27" x14ac:dyDescent="0.25"/>
    <row r="3" spans="1:27" s="58" customFormat="1" x14ac:dyDescent="0.25">
      <c r="A3" s="5" t="s">
        <v>478</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85"/>
      <c r="R4" s="185"/>
      <c r="S4" s="185"/>
      <c r="V4" s="183"/>
      <c r="W4" s="183"/>
      <c r="X4" s="183"/>
      <c r="Y4" s="183"/>
      <c r="Z4" s="183"/>
      <c r="AA4" s="183"/>
    </row>
    <row r="5" spans="1:27" s="8" customFormat="1" ht="12.75" customHeight="1" x14ac:dyDescent="0.25">
      <c r="B5" s="8" t="s">
        <v>213</v>
      </c>
      <c r="T5" s="50"/>
      <c r="W5" s="50"/>
      <c r="X5" s="50"/>
      <c r="Y5" s="50"/>
      <c r="Z5" s="50"/>
      <c r="AA5" s="50"/>
    </row>
    <row r="6" spans="1:27" s="8" customFormat="1" ht="12.75" customHeight="1" x14ac:dyDescent="0.25">
      <c r="C6" s="8" t="s">
        <v>479</v>
      </c>
      <c r="T6" s="51"/>
      <c r="W6" s="51"/>
      <c r="X6" s="51"/>
      <c r="Y6" s="51"/>
      <c r="Z6" s="51"/>
      <c r="AA6" s="51"/>
    </row>
    <row r="7" spans="1:27" s="8" customFormat="1" ht="12.75" customHeight="1" x14ac:dyDescent="0.25">
      <c r="C7" s="8" t="s">
        <v>480</v>
      </c>
      <c r="T7" s="51"/>
      <c r="W7" s="51"/>
      <c r="X7" s="51"/>
      <c r="Y7" s="51"/>
      <c r="Z7" s="51"/>
      <c r="AA7" s="51"/>
    </row>
    <row r="8" spans="1:27" s="8" customFormat="1" ht="12.75" customHeight="1" x14ac:dyDescent="0.25">
      <c r="C8" s="8" t="s">
        <v>331</v>
      </c>
      <c r="T8" s="50"/>
      <c r="W8" s="50"/>
      <c r="X8" s="50"/>
      <c r="Y8" s="50"/>
      <c r="Z8" s="50"/>
      <c r="AA8" s="50"/>
    </row>
    <row r="9" spans="1:27" s="8" customFormat="1" x14ac:dyDescent="0.25">
      <c r="C9" s="8" t="s">
        <v>264</v>
      </c>
      <c r="Q9" s="185"/>
      <c r="R9" s="185"/>
      <c r="S9" s="185"/>
    </row>
    <row r="10" spans="1:27" s="8" customFormat="1" ht="12.75" customHeight="1" x14ac:dyDescent="0.25">
      <c r="Q10" s="185"/>
      <c r="R10" s="185"/>
      <c r="S10" s="185"/>
    </row>
    <row r="11" spans="1:27" s="8" customFormat="1" ht="12.75" customHeight="1" x14ac:dyDescent="0.25">
      <c r="A11" s="44" t="s">
        <v>481</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8" thickBot="1" x14ac:dyDescent="0.3">
      <c r="B13" s="36"/>
    </row>
    <row r="14" spans="1:27" x14ac:dyDescent="0.25">
      <c r="B14" s="537" t="s">
        <v>482</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2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x14ac:dyDescent="0.25">
      <c r="B16" s="543" t="s">
        <v>58</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2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25">
      <c r="B18" s="540" t="s">
        <v>13</v>
      </c>
      <c r="C18" s="541"/>
      <c r="D18" s="541"/>
      <c r="E18" s="209"/>
      <c r="F18" s="541"/>
      <c r="G18" s="541"/>
      <c r="H18" s="547">
        <f>IF(H$16&gt;'III. Inputs, Renewable Energy'!$U$17,0, 'III. Inputs, Renewable Energy'!$U$217)</f>
        <v>1</v>
      </c>
      <c r="I18" s="547">
        <f>IF(I$16&gt;'III. Inputs, Renewable Energy'!$U$17,0, 'III. Inputs, Renewable Energy'!$U$217)</f>
        <v>1</v>
      </c>
      <c r="J18" s="547">
        <f>IF(J$16&gt;'III. Inputs, Renewable Energy'!$U$17,0, 'III. Inputs, Renewable Energy'!$U$217)</f>
        <v>1</v>
      </c>
      <c r="K18" s="547">
        <f>IF(K$16&gt;'III. Inputs, Renewable Energy'!$U$17,0, 'III. Inputs, Renewable Energy'!$U$217)</f>
        <v>1</v>
      </c>
      <c r="L18" s="547">
        <f>IF(L$16&gt;'III. Inputs, Renewable Energy'!$U$17,0, 'III. Inputs, Renewable Energy'!$U$217)</f>
        <v>1</v>
      </c>
      <c r="M18" s="547">
        <f>IF(M$16&gt;'III. Inputs, Renewable Energy'!$U$17,0, 'III. Inputs, Renewable Energy'!$U$217)</f>
        <v>1</v>
      </c>
      <c r="N18" s="547">
        <f>IF(N$16&gt;'III. Inputs, Renewable Energy'!$U$17,0, 'III. Inputs, Renewable Energy'!$U$217)</f>
        <v>1</v>
      </c>
      <c r="O18" s="547">
        <f>IF(O$16&gt;'III. Inputs, Renewable Energy'!$U$17,0, 'III. Inputs, Renewable Energy'!$U$217)</f>
        <v>1</v>
      </c>
      <c r="P18" s="547">
        <f>IF(P$16&gt;'III. Inputs, Renewable Energy'!$U$17,0, 'III. Inputs, Renewable Energy'!$U$217)</f>
        <v>1</v>
      </c>
      <c r="Q18" s="547">
        <f>IF(Q$16&gt;'III. Inputs, Renewable Energy'!$U$17,0, 'III. Inputs, Renewable Energy'!$U$217)</f>
        <v>1</v>
      </c>
      <c r="R18" s="547">
        <f>IF(R$16&gt;'III. Inputs, Renewable Energy'!$U$17,0, 'III. Inputs, Renewable Energy'!$U$217)</f>
        <v>1</v>
      </c>
      <c r="S18" s="547">
        <f>IF(S$16&gt;'III. Inputs, Renewable Energy'!$U$17,0, 'III. Inputs, Renewable Energy'!$U$217)</f>
        <v>1</v>
      </c>
      <c r="T18" s="547">
        <f>IF(T$16&gt;'III. Inputs, Renewable Energy'!$U$17,0, 'III. Inputs, Renewable Energy'!$U$217)</f>
        <v>1</v>
      </c>
      <c r="U18" s="547">
        <f>IF(U$16&gt;'III. Inputs, Renewable Energy'!$U$17,0, 'III. Inputs, Renewable Energy'!$U$217)</f>
        <v>1</v>
      </c>
      <c r="V18" s="547">
        <f>IF(V$16&gt;'III. Inputs, Renewable Energy'!$U$17,0, 'III. Inputs, Renewable Energy'!$U$217)</f>
        <v>1</v>
      </c>
      <c r="W18" s="547">
        <f>IF(W$16&gt;'III. Inputs, Renewable Energy'!$U$17,0, 'III. Inputs, Renewable Energy'!$U$217)</f>
        <v>1</v>
      </c>
      <c r="X18" s="547">
        <f>IF(X$16&gt;'III. Inputs, Renewable Energy'!$U$17,0, 'III. Inputs, Renewable Energy'!$U$217)</f>
        <v>1</v>
      </c>
      <c r="Y18" s="547">
        <f>IF(Y$16&gt;'III. Inputs, Renewable Energy'!$U$17,0, 'III. Inputs, Renewable Energy'!$U$217)</f>
        <v>1</v>
      </c>
      <c r="Z18" s="547">
        <f>IF(Z$16&gt;'III. Inputs, Renewable Energy'!$U$17,0, 'III. Inputs, Renewable Energy'!$U$217)</f>
        <v>1</v>
      </c>
      <c r="AA18" s="548">
        <f>IF(AA$16&gt;'III. Inputs, Renewable Energy'!$U$17,0, 'III. Inputs, Renewable Energy'!$U$217)</f>
        <v>1</v>
      </c>
    </row>
    <row r="19" spans="2:27" ht="4.5" customHeight="1" x14ac:dyDescent="0.2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25">
      <c r="B20" s="540" t="s">
        <v>97</v>
      </c>
      <c r="C20" s="541"/>
      <c r="D20" s="541"/>
      <c r="E20" s="541"/>
      <c r="F20" s="209" t="s">
        <v>98</v>
      </c>
      <c r="G20" s="541"/>
      <c r="H20" s="549">
        <f>IF(H$16&gt;'III. Inputs, Renewable Energy'!$U$17, 0, 'III. Inputs, Renewable Energy'!$U$14*'III. Inputs, Renewable Energy'!$U$215*$H$18)</f>
        <v>0</v>
      </c>
      <c r="I20" s="549">
        <f>IF(I$16&gt;'III. Inputs, Renewable Energy'!$U$17, 0, 'III. Inputs, Renewable Energy'!$U$14*'III. Inputs, Renewable Energy'!$U$215*$H$18)</f>
        <v>0</v>
      </c>
      <c r="J20" s="549">
        <f>IF(J$16&gt;'III. Inputs, Renewable Energy'!$U$17, 0, 'III. Inputs, Renewable Energy'!$U$14*'III. Inputs, Renewable Energy'!$U$215*$H$18)</f>
        <v>0</v>
      </c>
      <c r="K20" s="549">
        <f>IF(K$16&gt;'III. Inputs, Renewable Energy'!$U$17, 0, 'III. Inputs, Renewable Energy'!$U$14*'III. Inputs, Renewable Energy'!$U$215*$H$18)</f>
        <v>0</v>
      </c>
      <c r="L20" s="549">
        <f>IF(L$16&gt;'III. Inputs, Renewable Energy'!$U$17, 0, 'III. Inputs, Renewable Energy'!$U$14*'III. Inputs, Renewable Energy'!$U$215*$H$18)</f>
        <v>0</v>
      </c>
      <c r="M20" s="549">
        <f>IF(M$16&gt;'III. Inputs, Renewable Energy'!$U$17, 0, 'III. Inputs, Renewable Energy'!$U$14*'III. Inputs, Renewable Energy'!$U$215*$H$18)</f>
        <v>0</v>
      </c>
      <c r="N20" s="549">
        <f>IF(N$16&gt;'III. Inputs, Renewable Energy'!$U$17, 0, 'III. Inputs, Renewable Energy'!$U$14*'III. Inputs, Renewable Energy'!$U$215*$H$18)</f>
        <v>0</v>
      </c>
      <c r="O20" s="549">
        <f>IF(O$16&gt;'III. Inputs, Renewable Energy'!$U$17, 0, 'III. Inputs, Renewable Energy'!$U$14*'III. Inputs, Renewable Energy'!$U$215*$H$18)</f>
        <v>0</v>
      </c>
      <c r="P20" s="549">
        <f>IF(P$16&gt;'III. Inputs, Renewable Energy'!$U$17, 0, 'III. Inputs, Renewable Energy'!$U$14*'III. Inputs, Renewable Energy'!$U$215*$H$18)</f>
        <v>0</v>
      </c>
      <c r="Q20" s="549">
        <f>IF(Q$16&gt;'III. Inputs, Renewable Energy'!$U$17, 0, 'III. Inputs, Renewable Energy'!$U$14*'III. Inputs, Renewable Energy'!$U$215*$H$18)</f>
        <v>0</v>
      </c>
      <c r="R20" s="549">
        <f>IF(R$16&gt;'III. Inputs, Renewable Energy'!$U$17, 0, 'III. Inputs, Renewable Energy'!$U$14*'III. Inputs, Renewable Energy'!$U$215*$H$18)</f>
        <v>0</v>
      </c>
      <c r="S20" s="549">
        <f>IF(S$16&gt;'III. Inputs, Renewable Energy'!$U$17, 0, 'III. Inputs, Renewable Energy'!$U$14*'III. Inputs, Renewable Energy'!$U$215*$H$18)</f>
        <v>0</v>
      </c>
      <c r="T20" s="549">
        <f>IF(T$16&gt;'III. Inputs, Renewable Energy'!$U$17, 0, 'III. Inputs, Renewable Energy'!$U$14*'III. Inputs, Renewable Energy'!$U$215*$H$18)</f>
        <v>0</v>
      </c>
      <c r="U20" s="549">
        <f>IF(U$16&gt;'III. Inputs, Renewable Energy'!$U$17, 0, 'III. Inputs, Renewable Energy'!$U$14*'III. Inputs, Renewable Energy'!$U$215*$H$18)</f>
        <v>0</v>
      </c>
      <c r="V20" s="549">
        <f>IF(V$16&gt;'III. Inputs, Renewable Energy'!$U$17, 0, 'III. Inputs, Renewable Energy'!$U$14*'III. Inputs, Renewable Energy'!$U$215*$H$18)</f>
        <v>0</v>
      </c>
      <c r="W20" s="549">
        <f>IF(W$16&gt;'III. Inputs, Renewable Energy'!$U$17, 0, 'III. Inputs, Renewable Energy'!$U$14*'III. Inputs, Renewable Energy'!$U$215*$H$18)</f>
        <v>0</v>
      </c>
      <c r="X20" s="549">
        <f>IF(X$16&gt;'III. Inputs, Renewable Energy'!$U$17, 0, 'III. Inputs, Renewable Energy'!$U$14*'III. Inputs, Renewable Energy'!$U$215*$H$18)</f>
        <v>0</v>
      </c>
      <c r="Y20" s="549">
        <f>IF(Y$16&gt;'III. Inputs, Renewable Energy'!$U$17, 0, 'III. Inputs, Renewable Energy'!$U$14*'III. Inputs, Renewable Energy'!$U$215*$H$18)</f>
        <v>0</v>
      </c>
      <c r="Z20" s="549">
        <f>IF(Z$16&gt;'III. Inputs, Renewable Energy'!$U$17, 0, 'III. Inputs, Renewable Energy'!$U$14*'III. Inputs, Renewable Energy'!$U$215*$H$18)</f>
        <v>0</v>
      </c>
      <c r="AA20" s="550">
        <f>IF(AA$16&gt;'III. Inputs, Renewable Energy'!$U$17, 0, 'III. Inputs, Renewable Energy'!$U$14*'III. Inputs, Renewable Energy'!$U$215*$H$18)</f>
        <v>0</v>
      </c>
    </row>
    <row r="21" spans="2:27" ht="7.5" customHeight="1" x14ac:dyDescent="0.2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x14ac:dyDescent="0.25">
      <c r="B22" s="543" t="s">
        <v>99</v>
      </c>
      <c r="C22" s="551"/>
      <c r="D22" s="551"/>
      <c r="E22" s="184"/>
      <c r="F22" s="184"/>
      <c r="G22" s="184"/>
      <c r="H22" s="184"/>
      <c r="I22" s="184"/>
      <c r="J22" s="184"/>
      <c r="K22" s="184"/>
      <c r="L22" s="184"/>
      <c r="M22" s="184"/>
      <c r="N22" s="184"/>
      <c r="O22" s="184"/>
      <c r="P22" s="184"/>
      <c r="Q22" s="184"/>
      <c r="R22" s="184"/>
      <c r="S22" s="184"/>
      <c r="T22" s="184"/>
      <c r="U22" s="184"/>
      <c r="V22" s="184"/>
      <c r="W22" s="184"/>
      <c r="X22" s="184"/>
      <c r="Y22" s="184"/>
      <c r="Z22" s="184"/>
      <c r="AA22" s="552"/>
    </row>
    <row r="23" spans="2:27" x14ac:dyDescent="0.2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25">
      <c r="B24" s="540" t="s">
        <v>100</v>
      </c>
      <c r="C24" s="541"/>
      <c r="D24" s="541"/>
      <c r="E24" s="209"/>
      <c r="F24" s="209" t="s">
        <v>22</v>
      </c>
      <c r="G24" s="1357"/>
      <c r="H24" s="1358">
        <f>IF(H$16&gt;'III. Inputs, Renewable Energy'!$U$17,0,IF('III. Inputs, Renewable Energy'!$S$224="Model Default",VLOOKUP('V. LCOE, Ren. En. Generation'!H$16,'VII. Additional Data'!$C$75:$D$94,2,FALSE)*'III. Inputs, Renewable Energy'!$U$14,'III. Inputs, Renewable Energy'!$S$227)*(1+'III. Inputs, Renewable Energy'!$S$228)^('V. LCOE, Ren. En. Generation'!H$16-1))</f>
        <v>3497802.0000000005</v>
      </c>
      <c r="I24" s="1358">
        <f>IF(I$16&gt;'III. Inputs, Renewable Energy'!$U$17,0,IF('III. Inputs, Renewable Energy'!$S$224="Model Default",VLOOKUP('V. LCOE, Ren. En. Generation'!I$16,'VII. Additional Data'!$C$75:$D$94,2,FALSE)*'III. Inputs, Renewable Energy'!$U$14,('III. Inputs, Renewable Energy'!$S$227)*(1+'III. Inputs, Renewable Energy'!$S$228)^('V. LCOE, Ren. En. Generation'!I$16-1)))</f>
        <v>5771370</v>
      </c>
      <c r="J24" s="1358">
        <f>IF(J$16&gt;'III. Inputs, Renewable Energy'!$U$17,0,IF('III. Inputs, Renewable Energy'!$S$224="Model Default",VLOOKUP('V. LCOE, Ren. En. Generation'!J$16,'VII. Additional Data'!$C$75:$D$94,2,FALSE)*'III. Inputs, Renewable Energy'!$U$14,('III. Inputs, Renewable Energy'!$S$227)*(1+'III. Inputs, Renewable Energy'!$S$228)^('V. LCOE, Ren. En. Generation'!J$16-1)))</f>
        <v>8044938.0000000009</v>
      </c>
      <c r="K24" s="1358">
        <f>IF(K$16&gt;'III. Inputs, Renewable Energy'!$U$17,0,IF('III. Inputs, Renewable Energy'!$S$224="Model Default",VLOOKUP('V. LCOE, Ren. En. Generation'!K$16,'VII. Additional Data'!$C$75:$D$94,2,FALSE)*'III. Inputs, Renewable Energy'!$U$14,('III. Inputs, Renewable Energy'!$S$227)*(1+'III. Inputs, Renewable Energy'!$S$228)^('V. LCOE, Ren. En. Generation'!K$16-1)))</f>
        <v>10318506.000000002</v>
      </c>
      <c r="L24" s="1358">
        <f>IF(L$16&gt;'III. Inputs, Renewable Energy'!$U$17,0,IF('III. Inputs, Renewable Energy'!$S$224="Model Default",VLOOKUP('V. LCOE, Ren. En. Generation'!L$16,'VII. Additional Data'!$C$75:$D$94,2,FALSE)*'III. Inputs, Renewable Energy'!$U$14,('III. Inputs, Renewable Energy'!$S$227)*(1+'III. Inputs, Renewable Energy'!$S$228)^('V. LCOE, Ren. En. Generation'!L$16-1)))</f>
        <v>12592074.000000002</v>
      </c>
      <c r="M24" s="1358">
        <f>IF(M$16&gt;'III. Inputs, Renewable Energy'!$U$17,0,IF('III. Inputs, Renewable Energy'!$S$224="Model Default",VLOOKUP('V. LCOE, Ren. En. Generation'!M$16,'VII. Additional Data'!$C$75:$D$94,2,FALSE)*'III. Inputs, Renewable Energy'!$U$14,('III. Inputs, Renewable Energy'!$S$227)*(1+'III. Inputs, Renewable Energy'!$S$228)^('V. LCOE, Ren. En. Generation'!M$16-1)))</f>
        <v>14865642.000000004</v>
      </c>
      <c r="N24" s="1358">
        <f>IF(N$16&gt;'III. Inputs, Renewable Energy'!$U$17,0,IF('III. Inputs, Renewable Energy'!$S$224="Model Default",VLOOKUP('V. LCOE, Ren. En. Generation'!N$16,'VII. Additional Data'!$C$75:$D$94,2,FALSE)*'III. Inputs, Renewable Energy'!$U$14,('III. Inputs, Renewable Energy'!$S$227)*(1+'III. Inputs, Renewable Energy'!$S$228)^('V. LCOE, Ren. En. Generation'!N$16-1)))</f>
        <v>17139210.000000004</v>
      </c>
      <c r="O24" s="1358">
        <f>IF(O$16&gt;'III. Inputs, Renewable Energy'!$U$17,0,IF('III. Inputs, Renewable Energy'!$S$224="Model Default",VLOOKUP('V. LCOE, Ren. En. Generation'!O$16,'VII. Additional Data'!$C$75:$D$94,2,FALSE)*'III. Inputs, Renewable Energy'!$U$14,('III. Inputs, Renewable Energy'!$S$227)*(1+'III. Inputs, Renewable Energy'!$S$228)^('V. LCOE, Ren. En. Generation'!O$16-1)))</f>
        <v>19412778.000000004</v>
      </c>
      <c r="P24" s="1358">
        <f>IF(P$16&gt;'III. Inputs, Renewable Energy'!$U$17,0,IF('III. Inputs, Renewable Energy'!$S$224="Model Default",VLOOKUP('V. LCOE, Ren. En. Generation'!P$16,'VII. Additional Data'!$C$75:$D$94,2,FALSE)*'III. Inputs, Renewable Energy'!$U$14,('III. Inputs, Renewable Energy'!$S$227)*(1+'III. Inputs, Renewable Energy'!$S$228)^('V. LCOE, Ren. En. Generation'!P$16-1)))</f>
        <v>21686346</v>
      </c>
      <c r="Q24" s="1358">
        <f>IF(Q$16&gt;'III. Inputs, Renewable Energy'!$U$17,0,IF('III. Inputs, Renewable Energy'!$S$224="Model Default",VLOOKUP('V. LCOE, Ren. En. Generation'!Q$16,'VII. Additional Data'!$C$75:$D$94,2,FALSE)*'III. Inputs, Renewable Energy'!$U$14,('III. Inputs, Renewable Energy'!$S$227)*(1+'III. Inputs, Renewable Energy'!$S$228)^('V. LCOE, Ren. En. Generation'!Q$16-1)))</f>
        <v>23959914</v>
      </c>
      <c r="R24" s="1358">
        <f>IF(R$16&gt;'III. Inputs, Renewable Energy'!$U$17,0,IF('III. Inputs, Renewable Energy'!$S$224="Model Default",VLOOKUP('V. LCOE, Ren. En. Generation'!R$16,'VII. Additional Data'!$C$75:$D$94,2,FALSE)*'III. Inputs, Renewable Energy'!$U$14,('III. Inputs, Renewable Energy'!$S$227)*(1+'III. Inputs, Renewable Energy'!$S$228)^('V. LCOE, Ren. En. Generation'!R$16-1)))</f>
        <v>26233482.000000004</v>
      </c>
      <c r="S24" s="1358">
        <f>IF(S$16&gt;'III. Inputs, Renewable Energy'!$U$17,0,IF('III. Inputs, Renewable Energy'!$S$224="Model Default",VLOOKUP('V. LCOE, Ren. En. Generation'!S$16,'VII. Additional Data'!$C$75:$D$94,2,FALSE)*'III. Inputs, Renewable Energy'!$U$14,('III. Inputs, Renewable Energy'!$S$227)*(1+'III. Inputs, Renewable Energy'!$S$228)^('V. LCOE, Ren. En. Generation'!S$16-1)))</f>
        <v>28507050.000000007</v>
      </c>
      <c r="T24" s="1358">
        <f>IF(T$16&gt;'III. Inputs, Renewable Energy'!$U$17,0,IF('III. Inputs, Renewable Energy'!$S$224="Model Default",VLOOKUP('V. LCOE, Ren. En. Generation'!T$16,'VII. Additional Data'!$C$75:$D$94,2,FALSE)*'III. Inputs, Renewable Energy'!$U$14,('III. Inputs, Renewable Energy'!$S$227)*(1+'III. Inputs, Renewable Energy'!$S$228)^('V. LCOE, Ren. En. Generation'!T$16-1)))</f>
        <v>30780618.000000004</v>
      </c>
      <c r="U24" s="1358">
        <f>IF(U$16&gt;'III. Inputs, Renewable Energy'!$U$17,0,IF('III. Inputs, Renewable Energy'!$S$224="Model Default",VLOOKUP('V. LCOE, Ren. En. Generation'!U$16,'VII. Additional Data'!$C$75:$D$94,2,FALSE)*'III. Inputs, Renewable Energy'!$U$14,('III. Inputs, Renewable Energy'!$S$227)*(1+'III. Inputs, Renewable Energy'!$S$228)^('V. LCOE, Ren. En. Generation'!U$16-1)))</f>
        <v>33054186.000000007</v>
      </c>
      <c r="V24" s="1358">
        <f>IF(V$16&gt;'III. Inputs, Renewable Energy'!$U$17,0,IF('III. Inputs, Renewable Energy'!$S$224="Model Default",VLOOKUP('V. LCOE, Ren. En. Generation'!V$16,'VII. Additional Data'!$C$75:$D$94,2,FALSE)*'III. Inputs, Renewable Energy'!$U$14,('III. Inputs, Renewable Energy'!$S$227)*(1+'III. Inputs, Renewable Energy'!$S$228)^('V. LCOE, Ren. En. Generation'!V$16-1)))</f>
        <v>35327754</v>
      </c>
      <c r="W24" s="1358">
        <f>IF(W$16&gt;'III. Inputs, Renewable Energy'!$U$17,0,IF('III. Inputs, Renewable Energy'!$S$224="Model Default",VLOOKUP('V. LCOE, Ren. En. Generation'!W$16,'VII. Additional Data'!$C$75:$D$94,2,FALSE)*'III. Inputs, Renewable Energy'!$U$14,('III. Inputs, Renewable Energy'!$S$227)*(1+'III. Inputs, Renewable Energy'!$S$228)^('V. LCOE, Ren. En. Generation'!W$16-1)))</f>
        <v>37601322.000000007</v>
      </c>
      <c r="X24" s="1358">
        <f>IF(X$16&gt;'III. Inputs, Renewable Energy'!$U$17,0,IF('III. Inputs, Renewable Energy'!$S$224="Model Default",VLOOKUP('V. LCOE, Ren. En. Generation'!X$16,'VII. Additional Data'!$C$75:$D$94,2,FALSE)*'III. Inputs, Renewable Energy'!$U$14,('III. Inputs, Renewable Energy'!$S$227)*(1+'III. Inputs, Renewable Energy'!$S$228)^('V. LCOE, Ren. En. Generation'!X$16-1)))</f>
        <v>39874890.000000007</v>
      </c>
      <c r="Y24" s="1358">
        <f>IF(Y$16&gt;'III. Inputs, Renewable Energy'!$U$17,0,IF('III. Inputs, Renewable Energy'!$S$224="Model Default",VLOOKUP('V. LCOE, Ren. En. Generation'!Y$16,'VII. Additional Data'!$C$75:$D$94,2,FALSE)*'III. Inputs, Renewable Energy'!$U$14,('III. Inputs, Renewable Energy'!$S$227)*(1+'III. Inputs, Renewable Energy'!$S$228)^('V. LCOE, Ren. En. Generation'!Y$16-1)))</f>
        <v>42148458.000000007</v>
      </c>
      <c r="Z24" s="1358">
        <f>IF(Z$16&gt;'III. Inputs, Renewable Energy'!$U$17,0,IF('III. Inputs, Renewable Energy'!$S$224="Model Default",VLOOKUP('V. LCOE, Ren. En. Generation'!Z$16,'VII. Additional Data'!$C$75:$D$94,2,FALSE)*'III. Inputs, Renewable Energy'!$U$14,('III. Inputs, Renewable Energy'!$S$227)*(1+'III. Inputs, Renewable Energy'!$S$228)^('V. LCOE, Ren. En. Generation'!Z$16-1)))</f>
        <v>44422026.000000007</v>
      </c>
      <c r="AA24" s="1359">
        <f>IF(AA$16&gt;'III. Inputs, Renewable Energy'!$U$17,0,IF('III. Inputs, Renewable Energy'!$S$224="Model Default",VLOOKUP('V. LCOE, Ren. En. Generation'!AA$16,'VII. Additional Data'!$C$75:$D$94,2,FALSE)*'III. Inputs, Renewable Energy'!$U$14,('III. Inputs, Renewable Energy'!$S$227)*(1+'III. Inputs, Renewable Energy'!$S$228)^('V. LCOE, Ren. En. Generation'!AA$16-1)))</f>
        <v>46695594</v>
      </c>
    </row>
    <row r="25" spans="2:27" x14ac:dyDescent="0.25">
      <c r="B25" s="540"/>
      <c r="C25" s="541"/>
      <c r="D25" s="541"/>
      <c r="E25" s="209"/>
      <c r="F25" s="209"/>
      <c r="G25" s="1357"/>
      <c r="H25" s="1358"/>
      <c r="I25" s="1358"/>
      <c r="J25" s="1358"/>
      <c r="K25" s="1358"/>
      <c r="L25" s="1358"/>
      <c r="M25" s="1358"/>
      <c r="N25" s="1358"/>
      <c r="O25" s="1358"/>
      <c r="P25" s="1358"/>
      <c r="Q25" s="1358"/>
      <c r="R25" s="1358"/>
      <c r="S25" s="1358"/>
      <c r="T25" s="1358"/>
      <c r="U25" s="1358"/>
      <c r="V25" s="1358"/>
      <c r="W25" s="1358"/>
      <c r="X25" s="1358"/>
      <c r="Y25" s="1358"/>
      <c r="Z25" s="1358"/>
      <c r="AA25" s="1359"/>
    </row>
    <row r="26" spans="2:27" x14ac:dyDescent="0.25">
      <c r="B26" s="540" t="s">
        <v>101</v>
      </c>
      <c r="C26" s="541"/>
      <c r="D26" s="541"/>
      <c r="E26" s="209"/>
      <c r="F26" s="209" t="s">
        <v>22</v>
      </c>
      <c r="G26" s="1357"/>
      <c r="H26" s="1357" t="e">
        <f>H365</f>
        <v>#VALUE!</v>
      </c>
      <c r="I26" s="1357" t="e">
        <f>I365</f>
        <v>#VALUE!</v>
      </c>
      <c r="J26" s="1357" t="e">
        <f t="shared" ref="J26:AA26" si="0">J365</f>
        <v>#VALUE!</v>
      </c>
      <c r="K26" s="1357" t="e">
        <f t="shared" si="0"/>
        <v>#VALUE!</v>
      </c>
      <c r="L26" s="1357" t="e">
        <f t="shared" si="0"/>
        <v>#VALUE!</v>
      </c>
      <c r="M26" s="1357" t="e">
        <f t="shared" si="0"/>
        <v>#VALUE!</v>
      </c>
      <c r="N26" s="1357" t="e">
        <f t="shared" si="0"/>
        <v>#VALUE!</v>
      </c>
      <c r="O26" s="1357" t="e">
        <f t="shared" si="0"/>
        <v>#VALUE!</v>
      </c>
      <c r="P26" s="1357" t="e">
        <f t="shared" si="0"/>
        <v>#VALUE!</v>
      </c>
      <c r="Q26" s="1357" t="e">
        <f t="shared" si="0"/>
        <v>#VALUE!</v>
      </c>
      <c r="R26" s="1357" t="e">
        <f t="shared" si="0"/>
        <v>#VALUE!</v>
      </c>
      <c r="S26" s="1357" t="e">
        <f t="shared" si="0"/>
        <v>#VALUE!</v>
      </c>
      <c r="T26" s="1357" t="e">
        <f t="shared" si="0"/>
        <v>#VALUE!</v>
      </c>
      <c r="U26" s="1357" t="e">
        <f t="shared" si="0"/>
        <v>#VALUE!</v>
      </c>
      <c r="V26" s="1357" t="e">
        <f t="shared" si="0"/>
        <v>#VALUE!</v>
      </c>
      <c r="W26" s="1357" t="e">
        <f t="shared" si="0"/>
        <v>#VALUE!</v>
      </c>
      <c r="X26" s="1357" t="e">
        <f t="shared" si="0"/>
        <v>#VALUE!</v>
      </c>
      <c r="Y26" s="1357" t="e">
        <f t="shared" si="0"/>
        <v>#VALUE!</v>
      </c>
      <c r="Z26" s="1357" t="e">
        <f t="shared" si="0"/>
        <v>#VALUE!</v>
      </c>
      <c r="AA26" s="1360" t="e">
        <f t="shared" si="0"/>
        <v>#VALUE!</v>
      </c>
    </row>
    <row r="27" spans="2:27" x14ac:dyDescent="0.25">
      <c r="B27" s="540"/>
      <c r="C27" s="541"/>
      <c r="D27" s="541"/>
      <c r="E27" s="209"/>
      <c r="F27" s="209"/>
      <c r="G27" s="1357"/>
      <c r="H27" s="1357"/>
      <c r="I27" s="1357"/>
      <c r="J27" s="1357"/>
      <c r="K27" s="1357"/>
      <c r="L27" s="1357"/>
      <c r="M27" s="1357"/>
      <c r="N27" s="1357"/>
      <c r="O27" s="1357"/>
      <c r="P27" s="1357"/>
      <c r="Q27" s="1357"/>
      <c r="R27" s="1357"/>
      <c r="S27" s="1357"/>
      <c r="T27" s="1357"/>
      <c r="U27" s="1357"/>
      <c r="V27" s="1357"/>
      <c r="W27" s="1357"/>
      <c r="X27" s="1357"/>
      <c r="Y27" s="1357"/>
      <c r="Z27" s="1357"/>
      <c r="AA27" s="1360"/>
    </row>
    <row r="28" spans="2:27" x14ac:dyDescent="0.25">
      <c r="B28" s="540" t="s">
        <v>256</v>
      </c>
      <c r="C28" s="541"/>
      <c r="D28" s="541"/>
      <c r="E28" s="209"/>
      <c r="F28" s="209" t="s">
        <v>22</v>
      </c>
      <c r="G28" s="1357"/>
      <c r="H28" s="1357">
        <f>H206</f>
        <v>0</v>
      </c>
      <c r="I28" s="1357">
        <f>I206</f>
        <v>0</v>
      </c>
      <c r="J28" s="1357">
        <f t="shared" ref="J28:AA28" si="1">J206</f>
        <v>0</v>
      </c>
      <c r="K28" s="1357">
        <f t="shared" si="1"/>
        <v>0</v>
      </c>
      <c r="L28" s="1357">
        <f t="shared" si="1"/>
        <v>0</v>
      </c>
      <c r="M28" s="1357">
        <f t="shared" si="1"/>
        <v>0</v>
      </c>
      <c r="N28" s="1357">
        <f t="shared" si="1"/>
        <v>0</v>
      </c>
      <c r="O28" s="1357">
        <f t="shared" si="1"/>
        <v>0</v>
      </c>
      <c r="P28" s="1357">
        <f t="shared" si="1"/>
        <v>0</v>
      </c>
      <c r="Q28" s="1357">
        <f t="shared" si="1"/>
        <v>0</v>
      </c>
      <c r="R28" s="1357">
        <f t="shared" si="1"/>
        <v>0</v>
      </c>
      <c r="S28" s="1357">
        <f t="shared" si="1"/>
        <v>0</v>
      </c>
      <c r="T28" s="1357">
        <f t="shared" si="1"/>
        <v>0</v>
      </c>
      <c r="U28" s="1357">
        <f t="shared" si="1"/>
        <v>0</v>
      </c>
      <c r="V28" s="1357">
        <f t="shared" si="1"/>
        <v>0</v>
      </c>
      <c r="W28" s="1357">
        <f t="shared" si="1"/>
        <v>0</v>
      </c>
      <c r="X28" s="1357">
        <f t="shared" si="1"/>
        <v>0</v>
      </c>
      <c r="Y28" s="1357">
        <f t="shared" si="1"/>
        <v>0</v>
      </c>
      <c r="Z28" s="1357">
        <f t="shared" si="1"/>
        <v>0</v>
      </c>
      <c r="AA28" s="1360">
        <f t="shared" si="1"/>
        <v>0</v>
      </c>
    </row>
    <row r="29" spans="2:27" x14ac:dyDescent="0.25">
      <c r="B29" s="540" t="s">
        <v>188</v>
      </c>
      <c r="C29" s="541"/>
      <c r="D29" s="541"/>
      <c r="E29" s="209"/>
      <c r="F29" s="209" t="s">
        <v>22</v>
      </c>
      <c r="G29" s="1357"/>
      <c r="H29" s="1357">
        <f>H227</f>
        <v>0</v>
      </c>
      <c r="I29" s="1357">
        <f>I227</f>
        <v>0</v>
      </c>
      <c r="J29" s="1357">
        <f t="shared" ref="J29:AA29" si="2">J227</f>
        <v>0</v>
      </c>
      <c r="K29" s="1357">
        <f t="shared" si="2"/>
        <v>0</v>
      </c>
      <c r="L29" s="1357">
        <f t="shared" si="2"/>
        <v>0</v>
      </c>
      <c r="M29" s="1357">
        <f t="shared" si="2"/>
        <v>0</v>
      </c>
      <c r="N29" s="1357">
        <f t="shared" si="2"/>
        <v>0</v>
      </c>
      <c r="O29" s="1357">
        <f t="shared" si="2"/>
        <v>0</v>
      </c>
      <c r="P29" s="1357">
        <f t="shared" si="2"/>
        <v>0</v>
      </c>
      <c r="Q29" s="1357">
        <f t="shared" si="2"/>
        <v>0</v>
      </c>
      <c r="R29" s="1357">
        <f t="shared" si="2"/>
        <v>0</v>
      </c>
      <c r="S29" s="1357">
        <f t="shared" si="2"/>
        <v>0</v>
      </c>
      <c r="T29" s="1357">
        <f t="shared" si="2"/>
        <v>0</v>
      </c>
      <c r="U29" s="1357">
        <f t="shared" si="2"/>
        <v>0</v>
      </c>
      <c r="V29" s="1357">
        <f t="shared" si="2"/>
        <v>0</v>
      </c>
      <c r="W29" s="1357">
        <f t="shared" si="2"/>
        <v>0</v>
      </c>
      <c r="X29" s="1357">
        <f t="shared" si="2"/>
        <v>0</v>
      </c>
      <c r="Y29" s="1357">
        <f t="shared" si="2"/>
        <v>0</v>
      </c>
      <c r="Z29" s="1357">
        <f t="shared" si="2"/>
        <v>0</v>
      </c>
      <c r="AA29" s="1360">
        <f t="shared" si="2"/>
        <v>0</v>
      </c>
    </row>
    <row r="30" spans="2:27" x14ac:dyDescent="0.25">
      <c r="B30" s="540" t="s">
        <v>189</v>
      </c>
      <c r="C30" s="541"/>
      <c r="D30" s="541"/>
      <c r="E30" s="209"/>
      <c r="F30" s="209" t="s">
        <v>22</v>
      </c>
      <c r="G30" s="1357"/>
      <c r="H30" s="1357">
        <f>H248</f>
        <v>0</v>
      </c>
      <c r="I30" s="1357">
        <f>I248</f>
        <v>0</v>
      </c>
      <c r="J30" s="1357">
        <f t="shared" ref="J30:AA30" si="3">J248</f>
        <v>0</v>
      </c>
      <c r="K30" s="1357">
        <f t="shared" si="3"/>
        <v>0</v>
      </c>
      <c r="L30" s="1357">
        <f t="shared" si="3"/>
        <v>0</v>
      </c>
      <c r="M30" s="1357">
        <f t="shared" si="3"/>
        <v>0</v>
      </c>
      <c r="N30" s="1357">
        <f t="shared" si="3"/>
        <v>0</v>
      </c>
      <c r="O30" s="1357">
        <f t="shared" si="3"/>
        <v>0</v>
      </c>
      <c r="P30" s="1357">
        <f t="shared" si="3"/>
        <v>0</v>
      </c>
      <c r="Q30" s="1357">
        <f t="shared" si="3"/>
        <v>0</v>
      </c>
      <c r="R30" s="1357">
        <f t="shared" si="3"/>
        <v>0</v>
      </c>
      <c r="S30" s="1357">
        <f t="shared" si="3"/>
        <v>0</v>
      </c>
      <c r="T30" s="1357">
        <f t="shared" si="3"/>
        <v>0</v>
      </c>
      <c r="U30" s="1357">
        <f t="shared" si="3"/>
        <v>0</v>
      </c>
      <c r="V30" s="1357">
        <f t="shared" si="3"/>
        <v>0</v>
      </c>
      <c r="W30" s="1357">
        <f t="shared" si="3"/>
        <v>0</v>
      </c>
      <c r="X30" s="1357">
        <f t="shared" si="3"/>
        <v>0</v>
      </c>
      <c r="Y30" s="1357">
        <f t="shared" si="3"/>
        <v>0</v>
      </c>
      <c r="Z30" s="1357">
        <f t="shared" si="3"/>
        <v>0</v>
      </c>
      <c r="AA30" s="1360">
        <f t="shared" si="3"/>
        <v>0</v>
      </c>
    </row>
    <row r="31" spans="2:27" x14ac:dyDescent="0.25">
      <c r="B31" s="540" t="s">
        <v>132</v>
      </c>
      <c r="C31" s="541"/>
      <c r="D31" s="541"/>
      <c r="E31" s="209"/>
      <c r="F31" s="209" t="s">
        <v>22</v>
      </c>
      <c r="G31" s="1357"/>
      <c r="H31" s="1357">
        <f>(H217+H238+H259)</f>
        <v>0</v>
      </c>
      <c r="I31" s="1357">
        <f>(I217+I238+I259)</f>
        <v>0</v>
      </c>
      <c r="J31" s="1357">
        <f t="shared" ref="J31:AA31" si="4">(J217+J238+J259)</f>
        <v>0</v>
      </c>
      <c r="K31" s="1357">
        <f t="shared" si="4"/>
        <v>0</v>
      </c>
      <c r="L31" s="1357">
        <f t="shared" si="4"/>
        <v>0</v>
      </c>
      <c r="M31" s="1357">
        <f t="shared" si="4"/>
        <v>0</v>
      </c>
      <c r="N31" s="1357">
        <f t="shared" si="4"/>
        <v>0</v>
      </c>
      <c r="O31" s="1357">
        <f t="shared" si="4"/>
        <v>0</v>
      </c>
      <c r="P31" s="1357">
        <f t="shared" si="4"/>
        <v>0</v>
      </c>
      <c r="Q31" s="1357">
        <f t="shared" si="4"/>
        <v>0</v>
      </c>
      <c r="R31" s="1357">
        <f t="shared" si="4"/>
        <v>0</v>
      </c>
      <c r="S31" s="1357">
        <f t="shared" si="4"/>
        <v>0</v>
      </c>
      <c r="T31" s="1357">
        <f t="shared" si="4"/>
        <v>0</v>
      </c>
      <c r="U31" s="1357">
        <f t="shared" si="4"/>
        <v>0</v>
      </c>
      <c r="V31" s="1357">
        <f t="shared" si="4"/>
        <v>0</v>
      </c>
      <c r="W31" s="1357">
        <f t="shared" si="4"/>
        <v>0</v>
      </c>
      <c r="X31" s="1357">
        <f t="shared" si="4"/>
        <v>0</v>
      </c>
      <c r="Y31" s="1357">
        <f t="shared" si="4"/>
        <v>0</v>
      </c>
      <c r="Z31" s="1357">
        <f t="shared" si="4"/>
        <v>0</v>
      </c>
      <c r="AA31" s="1360">
        <f t="shared" si="4"/>
        <v>0</v>
      </c>
    </row>
    <row r="32" spans="2:27" x14ac:dyDescent="0.25">
      <c r="B32" s="540" t="s">
        <v>190</v>
      </c>
      <c r="C32" s="541"/>
      <c r="D32" s="541"/>
      <c r="E32" s="209"/>
      <c r="F32" s="209" t="s">
        <v>22</v>
      </c>
      <c r="G32" s="1357"/>
      <c r="H32" s="1357">
        <f>H239+H240</f>
        <v>0</v>
      </c>
      <c r="I32" s="1357">
        <f>+I240</f>
        <v>0</v>
      </c>
      <c r="J32" s="1357">
        <f t="shared" ref="J32:AA32" si="5">+J240</f>
        <v>0</v>
      </c>
      <c r="K32" s="1357">
        <f t="shared" si="5"/>
        <v>0</v>
      </c>
      <c r="L32" s="1357">
        <f t="shared" si="5"/>
        <v>0</v>
      </c>
      <c r="M32" s="1357">
        <f t="shared" si="5"/>
        <v>0</v>
      </c>
      <c r="N32" s="1357">
        <f t="shared" si="5"/>
        <v>0</v>
      </c>
      <c r="O32" s="1357">
        <f t="shared" si="5"/>
        <v>0</v>
      </c>
      <c r="P32" s="1357">
        <f t="shared" si="5"/>
        <v>0</v>
      </c>
      <c r="Q32" s="1357">
        <f t="shared" si="5"/>
        <v>0</v>
      </c>
      <c r="R32" s="1357">
        <f t="shared" si="5"/>
        <v>0</v>
      </c>
      <c r="S32" s="1357">
        <f t="shared" si="5"/>
        <v>0</v>
      </c>
      <c r="T32" s="1357">
        <f t="shared" si="5"/>
        <v>0</v>
      </c>
      <c r="U32" s="1357">
        <f t="shared" si="5"/>
        <v>0</v>
      </c>
      <c r="V32" s="1357">
        <f t="shared" si="5"/>
        <v>0</v>
      </c>
      <c r="W32" s="1357">
        <f t="shared" si="5"/>
        <v>0</v>
      </c>
      <c r="X32" s="1357">
        <f t="shared" si="5"/>
        <v>0</v>
      </c>
      <c r="Y32" s="1357">
        <f t="shared" si="5"/>
        <v>0</v>
      </c>
      <c r="Z32" s="1357">
        <f t="shared" si="5"/>
        <v>0</v>
      </c>
      <c r="AA32" s="1360">
        <f t="shared" si="5"/>
        <v>0</v>
      </c>
    </row>
    <row r="33" spans="2:27" x14ac:dyDescent="0.25">
      <c r="B33" s="540" t="s">
        <v>134</v>
      </c>
      <c r="C33" s="541"/>
      <c r="D33" s="541"/>
      <c r="E33" s="209"/>
      <c r="F33" s="209" t="s">
        <v>22</v>
      </c>
      <c r="G33" s="1357"/>
      <c r="H33" s="1357">
        <f>(H269+H270)</f>
        <v>0</v>
      </c>
      <c r="I33" s="1357">
        <f>(+I270)</f>
        <v>0</v>
      </c>
      <c r="J33" s="1357">
        <f t="shared" ref="J33:AA33" si="6">(+J270)</f>
        <v>0</v>
      </c>
      <c r="K33" s="1357">
        <f t="shared" si="6"/>
        <v>0</v>
      </c>
      <c r="L33" s="1357">
        <f t="shared" si="6"/>
        <v>0</v>
      </c>
      <c r="M33" s="1357">
        <f t="shared" si="6"/>
        <v>0</v>
      </c>
      <c r="N33" s="1357">
        <f t="shared" si="6"/>
        <v>0</v>
      </c>
      <c r="O33" s="1357">
        <f t="shared" si="6"/>
        <v>0</v>
      </c>
      <c r="P33" s="1357">
        <f t="shared" si="6"/>
        <v>0</v>
      </c>
      <c r="Q33" s="1357">
        <f t="shared" si="6"/>
        <v>0</v>
      </c>
      <c r="R33" s="1357">
        <f t="shared" si="6"/>
        <v>0</v>
      </c>
      <c r="S33" s="1357">
        <f t="shared" si="6"/>
        <v>0</v>
      </c>
      <c r="T33" s="1357">
        <f t="shared" si="6"/>
        <v>0</v>
      </c>
      <c r="U33" s="1357">
        <f t="shared" si="6"/>
        <v>0</v>
      </c>
      <c r="V33" s="1357">
        <f t="shared" si="6"/>
        <v>0</v>
      </c>
      <c r="W33" s="1357">
        <f t="shared" si="6"/>
        <v>0</v>
      </c>
      <c r="X33" s="1357">
        <f t="shared" si="6"/>
        <v>0</v>
      </c>
      <c r="Y33" s="1357">
        <f t="shared" si="6"/>
        <v>0</v>
      </c>
      <c r="Z33" s="1357">
        <f t="shared" si="6"/>
        <v>0</v>
      </c>
      <c r="AA33" s="1360">
        <f t="shared" si="6"/>
        <v>0</v>
      </c>
    </row>
    <row r="34" spans="2:27" x14ac:dyDescent="0.25">
      <c r="B34" s="540"/>
      <c r="C34" s="541"/>
      <c r="D34" s="541"/>
      <c r="E34" s="209"/>
      <c r="F34" s="209"/>
      <c r="G34" s="1357"/>
      <c r="H34" s="1357"/>
      <c r="I34" s="1357"/>
      <c r="J34" s="1357"/>
      <c r="K34" s="1357"/>
      <c r="L34" s="1357"/>
      <c r="M34" s="1357"/>
      <c r="N34" s="1357"/>
      <c r="O34" s="1357"/>
      <c r="P34" s="1357"/>
      <c r="Q34" s="1357"/>
      <c r="R34" s="1357"/>
      <c r="S34" s="1357"/>
      <c r="T34" s="1357"/>
      <c r="U34" s="1357"/>
      <c r="V34" s="1357"/>
      <c r="W34" s="1357"/>
      <c r="X34" s="1357"/>
      <c r="Y34" s="1357"/>
      <c r="Z34" s="1357"/>
      <c r="AA34" s="1360"/>
    </row>
    <row r="35" spans="2:27" x14ac:dyDescent="0.25">
      <c r="B35" s="540"/>
      <c r="C35" s="541"/>
      <c r="D35" s="541"/>
      <c r="E35" s="209"/>
      <c r="F35" s="209"/>
      <c r="G35" s="1357"/>
      <c r="H35" s="1357"/>
      <c r="I35" s="1357"/>
      <c r="J35" s="1357"/>
      <c r="K35" s="1357"/>
      <c r="L35" s="1357"/>
      <c r="M35" s="1357"/>
      <c r="N35" s="1357"/>
      <c r="O35" s="1357"/>
      <c r="P35" s="1357"/>
      <c r="Q35" s="1357"/>
      <c r="R35" s="1357"/>
      <c r="S35" s="1357"/>
      <c r="T35" s="1357"/>
      <c r="U35" s="1357"/>
      <c r="V35" s="1357"/>
      <c r="W35" s="1357"/>
      <c r="X35" s="1357"/>
      <c r="Y35" s="1357"/>
      <c r="Z35" s="1357"/>
      <c r="AA35" s="1360"/>
    </row>
    <row r="36" spans="2:27" x14ac:dyDescent="0.25">
      <c r="B36" s="553" t="s">
        <v>493</v>
      </c>
      <c r="C36" s="541"/>
      <c r="D36" s="541"/>
      <c r="E36" s="209"/>
      <c r="F36" s="209"/>
      <c r="G36" s="1357"/>
      <c r="H36" s="1357"/>
      <c r="I36" s="1357"/>
      <c r="J36" s="1357"/>
      <c r="K36" s="1357"/>
      <c r="L36" s="1357"/>
      <c r="M36" s="1357"/>
      <c r="N36" s="1357"/>
      <c r="O36" s="1357"/>
      <c r="P36" s="1357"/>
      <c r="Q36" s="1357"/>
      <c r="R36" s="1357"/>
      <c r="S36" s="1357"/>
      <c r="T36" s="1357"/>
      <c r="U36" s="1357"/>
      <c r="V36" s="1357"/>
      <c r="W36" s="1357"/>
      <c r="X36" s="1357"/>
      <c r="Y36" s="1357"/>
      <c r="Z36" s="1357"/>
      <c r="AA36" s="1360"/>
    </row>
    <row r="37" spans="2:27" x14ac:dyDescent="0.25">
      <c r="B37" s="540"/>
      <c r="C37" s="541"/>
      <c r="D37" s="541"/>
      <c r="E37" s="209"/>
      <c r="F37" s="209"/>
      <c r="G37" s="1357"/>
      <c r="H37" s="1357"/>
      <c r="I37" s="1357"/>
      <c r="J37" s="1357"/>
      <c r="K37" s="1357"/>
      <c r="L37" s="1357"/>
      <c r="M37" s="1357"/>
      <c r="N37" s="1357"/>
      <c r="O37" s="1357"/>
      <c r="P37" s="1357"/>
      <c r="Q37" s="1357"/>
      <c r="R37" s="1357"/>
      <c r="S37" s="1357"/>
      <c r="T37" s="1357"/>
      <c r="U37" s="1357"/>
      <c r="V37" s="1357"/>
      <c r="W37" s="1357"/>
      <c r="X37" s="1357"/>
      <c r="Y37" s="1357"/>
      <c r="Z37" s="1357"/>
      <c r="AA37" s="1360"/>
    </row>
    <row r="38" spans="2:27" x14ac:dyDescent="0.25">
      <c r="B38" s="540" t="str">
        <f>B24</f>
        <v>Operations &amp; Maintenance Expenses</v>
      </c>
      <c r="C38" s="541"/>
      <c r="D38" s="541"/>
      <c r="E38" s="209"/>
      <c r="F38" s="209" t="s">
        <v>22</v>
      </c>
      <c r="G38" s="1357"/>
      <c r="H38" s="1357">
        <f>-H24</f>
        <v>-3497802.0000000005</v>
      </c>
      <c r="I38" s="1357">
        <f t="shared" ref="I38:AA38" si="7">-I24</f>
        <v>-5771370</v>
      </c>
      <c r="J38" s="1357">
        <f t="shared" si="7"/>
        <v>-8044938.0000000009</v>
      </c>
      <c r="K38" s="1357">
        <f t="shared" si="7"/>
        <v>-10318506.000000002</v>
      </c>
      <c r="L38" s="1357">
        <f t="shared" si="7"/>
        <v>-12592074.000000002</v>
      </c>
      <c r="M38" s="1357">
        <f t="shared" si="7"/>
        <v>-14865642.000000004</v>
      </c>
      <c r="N38" s="1357">
        <f t="shared" si="7"/>
        <v>-17139210.000000004</v>
      </c>
      <c r="O38" s="1357">
        <f t="shared" si="7"/>
        <v>-19412778.000000004</v>
      </c>
      <c r="P38" s="1357">
        <f t="shared" si="7"/>
        <v>-21686346</v>
      </c>
      <c r="Q38" s="1357">
        <f t="shared" si="7"/>
        <v>-23959914</v>
      </c>
      <c r="R38" s="1357">
        <f t="shared" si="7"/>
        <v>-26233482.000000004</v>
      </c>
      <c r="S38" s="1357">
        <f t="shared" si="7"/>
        <v>-28507050.000000007</v>
      </c>
      <c r="T38" s="1357">
        <f t="shared" si="7"/>
        <v>-30780618.000000004</v>
      </c>
      <c r="U38" s="1357">
        <f t="shared" si="7"/>
        <v>-33054186.000000007</v>
      </c>
      <c r="V38" s="1357">
        <f t="shared" si="7"/>
        <v>-35327754</v>
      </c>
      <c r="W38" s="1357">
        <f t="shared" si="7"/>
        <v>-37601322.000000007</v>
      </c>
      <c r="X38" s="1357">
        <f t="shared" si="7"/>
        <v>-39874890.000000007</v>
      </c>
      <c r="Y38" s="1357">
        <f t="shared" si="7"/>
        <v>-42148458.000000007</v>
      </c>
      <c r="Z38" s="1357">
        <f t="shared" si="7"/>
        <v>-44422026.000000007</v>
      </c>
      <c r="AA38" s="1360">
        <f t="shared" si="7"/>
        <v>-46695594</v>
      </c>
    </row>
    <row r="39" spans="2:27" x14ac:dyDescent="0.25">
      <c r="B39" s="540" t="str">
        <f>B31</f>
        <v xml:space="preserve">Front-end Fees </v>
      </c>
      <c r="C39" s="541"/>
      <c r="D39" s="541"/>
      <c r="E39" s="209"/>
      <c r="F39" s="209" t="s">
        <v>22</v>
      </c>
      <c r="G39" s="1357"/>
      <c r="H39" s="1357">
        <f>-H31</f>
        <v>0</v>
      </c>
      <c r="I39" s="1357">
        <f t="shared" ref="I39:AA39" si="8">-I31</f>
        <v>0</v>
      </c>
      <c r="J39" s="1357">
        <f t="shared" si="8"/>
        <v>0</v>
      </c>
      <c r="K39" s="1357">
        <f t="shared" si="8"/>
        <v>0</v>
      </c>
      <c r="L39" s="1357">
        <f t="shared" si="8"/>
        <v>0</v>
      </c>
      <c r="M39" s="1357">
        <f t="shared" si="8"/>
        <v>0</v>
      </c>
      <c r="N39" s="1357">
        <f t="shared" si="8"/>
        <v>0</v>
      </c>
      <c r="O39" s="1357">
        <f t="shared" si="8"/>
        <v>0</v>
      </c>
      <c r="P39" s="1357">
        <f t="shared" si="8"/>
        <v>0</v>
      </c>
      <c r="Q39" s="1357">
        <f t="shared" si="8"/>
        <v>0</v>
      </c>
      <c r="R39" s="1357">
        <f t="shared" si="8"/>
        <v>0</v>
      </c>
      <c r="S39" s="1357">
        <f t="shared" si="8"/>
        <v>0</v>
      </c>
      <c r="T39" s="1357">
        <f t="shared" si="8"/>
        <v>0</v>
      </c>
      <c r="U39" s="1357">
        <f t="shared" si="8"/>
        <v>0</v>
      </c>
      <c r="V39" s="1357">
        <f t="shared" si="8"/>
        <v>0</v>
      </c>
      <c r="W39" s="1357">
        <f t="shared" si="8"/>
        <v>0</v>
      </c>
      <c r="X39" s="1357">
        <f t="shared" si="8"/>
        <v>0</v>
      </c>
      <c r="Y39" s="1357">
        <f t="shared" si="8"/>
        <v>0</v>
      </c>
      <c r="Z39" s="1357">
        <f t="shared" si="8"/>
        <v>0</v>
      </c>
      <c r="AA39" s="1360">
        <f t="shared" si="8"/>
        <v>0</v>
      </c>
    </row>
    <row r="40" spans="2:27" x14ac:dyDescent="0.25">
      <c r="B40" s="540" t="str">
        <f>B32</f>
        <v xml:space="preserve">Public Guarantee Fees </v>
      </c>
      <c r="C40" s="541"/>
      <c r="D40" s="541"/>
      <c r="E40" s="209"/>
      <c r="F40" s="209" t="s">
        <v>22</v>
      </c>
      <c r="G40" s="1357"/>
      <c r="H40" s="1357">
        <f>-H32</f>
        <v>0</v>
      </c>
      <c r="I40" s="1357">
        <f t="shared" ref="I40:AA40" si="9">-I32</f>
        <v>0</v>
      </c>
      <c r="J40" s="1357">
        <f t="shared" si="9"/>
        <v>0</v>
      </c>
      <c r="K40" s="1357">
        <f t="shared" si="9"/>
        <v>0</v>
      </c>
      <c r="L40" s="1357">
        <f t="shared" si="9"/>
        <v>0</v>
      </c>
      <c r="M40" s="1357">
        <f t="shared" si="9"/>
        <v>0</v>
      </c>
      <c r="N40" s="1357">
        <f t="shared" si="9"/>
        <v>0</v>
      </c>
      <c r="O40" s="1357">
        <f t="shared" si="9"/>
        <v>0</v>
      </c>
      <c r="P40" s="1357">
        <f t="shared" si="9"/>
        <v>0</v>
      </c>
      <c r="Q40" s="1357">
        <f t="shared" si="9"/>
        <v>0</v>
      </c>
      <c r="R40" s="1357">
        <f t="shared" si="9"/>
        <v>0</v>
      </c>
      <c r="S40" s="1357">
        <f t="shared" si="9"/>
        <v>0</v>
      </c>
      <c r="T40" s="1357">
        <f t="shared" si="9"/>
        <v>0</v>
      </c>
      <c r="U40" s="1357">
        <f t="shared" si="9"/>
        <v>0</v>
      </c>
      <c r="V40" s="1357">
        <f t="shared" si="9"/>
        <v>0</v>
      </c>
      <c r="W40" s="1357">
        <f t="shared" si="9"/>
        <v>0</v>
      </c>
      <c r="X40" s="1357">
        <f t="shared" si="9"/>
        <v>0</v>
      </c>
      <c r="Y40" s="1357">
        <f t="shared" si="9"/>
        <v>0</v>
      </c>
      <c r="Z40" s="1357">
        <f t="shared" si="9"/>
        <v>0</v>
      </c>
      <c r="AA40" s="1360">
        <f t="shared" si="9"/>
        <v>0</v>
      </c>
    </row>
    <row r="41" spans="2:27" x14ac:dyDescent="0.25">
      <c r="B41" s="540" t="str">
        <f>B33</f>
        <v>Political Risk Insurance - Fees &amp; Annual Premium Payments</v>
      </c>
      <c r="C41" s="541"/>
      <c r="D41" s="541"/>
      <c r="E41" s="209"/>
      <c r="F41" s="209" t="s">
        <v>22</v>
      </c>
      <c r="G41" s="1357"/>
      <c r="H41" s="1357">
        <f>-H33</f>
        <v>0</v>
      </c>
      <c r="I41" s="1357">
        <f t="shared" ref="I41:AA41" si="10">-I33</f>
        <v>0</v>
      </c>
      <c r="J41" s="1357">
        <f t="shared" si="10"/>
        <v>0</v>
      </c>
      <c r="K41" s="1357">
        <f t="shared" si="10"/>
        <v>0</v>
      </c>
      <c r="L41" s="1357">
        <f t="shared" si="10"/>
        <v>0</v>
      </c>
      <c r="M41" s="1357">
        <f t="shared" si="10"/>
        <v>0</v>
      </c>
      <c r="N41" s="1357">
        <f t="shared" si="10"/>
        <v>0</v>
      </c>
      <c r="O41" s="1357">
        <f t="shared" si="10"/>
        <v>0</v>
      </c>
      <c r="P41" s="1357">
        <f t="shared" si="10"/>
        <v>0</v>
      </c>
      <c r="Q41" s="1357">
        <f t="shared" si="10"/>
        <v>0</v>
      </c>
      <c r="R41" s="1357">
        <f t="shared" si="10"/>
        <v>0</v>
      </c>
      <c r="S41" s="1357">
        <f t="shared" si="10"/>
        <v>0</v>
      </c>
      <c r="T41" s="1357">
        <f t="shared" si="10"/>
        <v>0</v>
      </c>
      <c r="U41" s="1357">
        <f t="shared" si="10"/>
        <v>0</v>
      </c>
      <c r="V41" s="1357">
        <f t="shared" si="10"/>
        <v>0</v>
      </c>
      <c r="W41" s="1357">
        <f t="shared" si="10"/>
        <v>0</v>
      </c>
      <c r="X41" s="1357">
        <f t="shared" si="10"/>
        <v>0</v>
      </c>
      <c r="Y41" s="1357">
        <f t="shared" si="10"/>
        <v>0</v>
      </c>
      <c r="Z41" s="1357">
        <f t="shared" si="10"/>
        <v>0</v>
      </c>
      <c r="AA41" s="1360">
        <f t="shared" si="10"/>
        <v>0</v>
      </c>
    </row>
    <row r="42" spans="2:27" x14ac:dyDescent="0.25">
      <c r="B42" s="540" t="s">
        <v>102</v>
      </c>
      <c r="C42" s="541"/>
      <c r="D42" s="541"/>
      <c r="E42" s="209"/>
      <c r="F42" s="209" t="s">
        <v>22</v>
      </c>
      <c r="G42" s="1357"/>
      <c r="H42" s="1357">
        <f>-(H208+H229+H250)</f>
        <v>0</v>
      </c>
      <c r="I42" s="1357">
        <f t="shared" ref="I42:AA42" si="11">-(I208+I229+I250)</f>
        <v>0</v>
      </c>
      <c r="J42" s="1357">
        <f t="shared" si="11"/>
        <v>0</v>
      </c>
      <c r="K42" s="1357">
        <f t="shared" si="11"/>
        <v>0</v>
      </c>
      <c r="L42" s="1357">
        <f t="shared" si="11"/>
        <v>0</v>
      </c>
      <c r="M42" s="1357">
        <f t="shared" si="11"/>
        <v>0</v>
      </c>
      <c r="N42" s="1357">
        <f t="shared" si="11"/>
        <v>0</v>
      </c>
      <c r="O42" s="1357">
        <f t="shared" si="11"/>
        <v>0</v>
      </c>
      <c r="P42" s="1357">
        <f t="shared" si="11"/>
        <v>0</v>
      </c>
      <c r="Q42" s="1357">
        <f t="shared" si="11"/>
        <v>0</v>
      </c>
      <c r="R42" s="1357">
        <f t="shared" si="11"/>
        <v>0</v>
      </c>
      <c r="S42" s="1357">
        <f t="shared" si="11"/>
        <v>0</v>
      </c>
      <c r="T42" s="1357">
        <f t="shared" si="11"/>
        <v>0</v>
      </c>
      <c r="U42" s="1357">
        <f t="shared" si="11"/>
        <v>0</v>
      </c>
      <c r="V42" s="1357">
        <f t="shared" si="11"/>
        <v>0</v>
      </c>
      <c r="W42" s="1357">
        <f t="shared" si="11"/>
        <v>0</v>
      </c>
      <c r="X42" s="1357">
        <f t="shared" si="11"/>
        <v>0</v>
      </c>
      <c r="Y42" s="1357">
        <f t="shared" si="11"/>
        <v>0</v>
      </c>
      <c r="Z42" s="1357">
        <f t="shared" si="11"/>
        <v>0</v>
      </c>
      <c r="AA42" s="1360">
        <f t="shared" si="11"/>
        <v>0</v>
      </c>
    </row>
    <row r="43" spans="2:27" x14ac:dyDescent="0.25">
      <c r="B43" s="554" t="s">
        <v>103</v>
      </c>
      <c r="C43" s="551"/>
      <c r="D43" s="551"/>
      <c r="E43" s="184"/>
      <c r="F43" s="184" t="s">
        <v>22</v>
      </c>
      <c r="G43" s="1361"/>
      <c r="H43" s="1361" t="e">
        <f>(H24+H26+H31+H32+H33+H28+H29+H30)*'III. Inputs, Renewable Energy'!$U$18</f>
        <v>#VALUE!</v>
      </c>
      <c r="I43" s="1361" t="e">
        <f>(I24+I26+I31+I32+I33+I28+I29+I30)*'III. Inputs, Renewable Energy'!$U$18</f>
        <v>#VALUE!</v>
      </c>
      <c r="J43" s="1361" t="e">
        <f>(J24+J26+J31+J32+J33+J28+J29+J30)*'III. Inputs, Renewable Energy'!$U$18</f>
        <v>#VALUE!</v>
      </c>
      <c r="K43" s="1361" t="e">
        <f>(K24+K26+K31+K32+K33+K28+K29+K30)*'III. Inputs, Renewable Energy'!$U$18</f>
        <v>#VALUE!</v>
      </c>
      <c r="L43" s="1361" t="e">
        <f>(L24+L26+L31+L32+L33+L28+L29+L30)*'III. Inputs, Renewable Energy'!$U$18</f>
        <v>#VALUE!</v>
      </c>
      <c r="M43" s="1361" t="e">
        <f>(M24+M26+M31+M32+M33+M28+M29+M30)*'III. Inputs, Renewable Energy'!$U$18</f>
        <v>#VALUE!</v>
      </c>
      <c r="N43" s="1361" t="e">
        <f>(N24+N26+N31+N32+N33+N28+N29+N30)*'III. Inputs, Renewable Energy'!$U$18</f>
        <v>#VALUE!</v>
      </c>
      <c r="O43" s="1361" t="e">
        <f>(O24+O26+O31+O32+O33+O28+O29+O30)*'III. Inputs, Renewable Energy'!$U$18</f>
        <v>#VALUE!</v>
      </c>
      <c r="P43" s="1361" t="e">
        <f>(P24+P26+P31+P32+P33+P28+P29+P30)*'III. Inputs, Renewable Energy'!$U$18</f>
        <v>#VALUE!</v>
      </c>
      <c r="Q43" s="1361" t="e">
        <f>(Q24+Q26+Q31+Q32+Q33+Q28+Q29+Q30)*'III. Inputs, Renewable Energy'!$U$18</f>
        <v>#VALUE!</v>
      </c>
      <c r="R43" s="1361" t="e">
        <f>(R24+R26+R31+R32+R33+R28+R29+R30)*'III. Inputs, Renewable Energy'!$U$18</f>
        <v>#VALUE!</v>
      </c>
      <c r="S43" s="1361" t="e">
        <f>(S24+S26+S31+S32+S33+S28+S29+S30)*'III. Inputs, Renewable Energy'!$U$18</f>
        <v>#VALUE!</v>
      </c>
      <c r="T43" s="1361" t="e">
        <f>(T24+T26+T31+T32+T33+T28+T29+T30)*'III. Inputs, Renewable Energy'!$U$18</f>
        <v>#VALUE!</v>
      </c>
      <c r="U43" s="1361" t="e">
        <f>(U24+U26+U31+U32+U33+U28+U29+U30)*'III. Inputs, Renewable Energy'!$U$18</f>
        <v>#VALUE!</v>
      </c>
      <c r="V43" s="1361" t="e">
        <f>(V24+V26+V31+V32+V33+V28+V29+V30)*'III. Inputs, Renewable Energy'!$U$18</f>
        <v>#VALUE!</v>
      </c>
      <c r="W43" s="1361" t="e">
        <f>(W24+W26+W31+W32+W33+W28+W29+W30)*'III. Inputs, Renewable Energy'!$U$18</f>
        <v>#VALUE!</v>
      </c>
      <c r="X43" s="1361" t="e">
        <f>(X24+X26+X31+X32+X33+X28+X29+X30)*'III. Inputs, Renewable Energy'!$U$18</f>
        <v>#VALUE!</v>
      </c>
      <c r="Y43" s="1361" t="e">
        <f>(Y24+Y26+Y31+Y32+Y33+Y28+Y29+Y30)*'III. Inputs, Renewable Energy'!$U$18</f>
        <v>#VALUE!</v>
      </c>
      <c r="Z43" s="1361" t="e">
        <f>(Z24+Z26+Z31+Z32+Z33+Z28+Z29+Z30)*'III. Inputs, Renewable Energy'!$U$18</f>
        <v>#VALUE!</v>
      </c>
      <c r="AA43" s="1362" t="e">
        <f>(AA24+AA26+AA31+AA32+AA33+AA28+AA29+AA30)*'III. Inputs, Renewable Energy'!$U$18</f>
        <v>#VALUE!</v>
      </c>
    </row>
    <row r="44" spans="2:27" x14ac:dyDescent="0.25">
      <c r="B44" s="540" t="s">
        <v>104</v>
      </c>
      <c r="C44" s="541"/>
      <c r="D44" s="541"/>
      <c r="E44" s="209"/>
      <c r="F44" s="209" t="s">
        <v>22</v>
      </c>
      <c r="G44" s="1357">
        <f>-'III. Inputs, Renewable Energy'!$U$14*'III. Inputs, Renewable Energy'!$U$15*'III. Inputs, Renewable Energy'!$S$28</f>
        <v>0</v>
      </c>
      <c r="H44" s="1357" t="e">
        <f>SUM(H38:H43)</f>
        <v>#VALUE!</v>
      </c>
      <c r="I44" s="1357" t="e">
        <f>SUM(I38:I43)</f>
        <v>#VALUE!</v>
      </c>
      <c r="J44" s="1357" t="e">
        <f t="shared" ref="J44:AA44" si="12">SUM(J38:J43)</f>
        <v>#VALUE!</v>
      </c>
      <c r="K44" s="1357" t="e">
        <f t="shared" si="12"/>
        <v>#VALUE!</v>
      </c>
      <c r="L44" s="1357" t="e">
        <f t="shared" si="12"/>
        <v>#VALUE!</v>
      </c>
      <c r="M44" s="1357" t="e">
        <f t="shared" si="12"/>
        <v>#VALUE!</v>
      </c>
      <c r="N44" s="1357" t="e">
        <f t="shared" si="12"/>
        <v>#VALUE!</v>
      </c>
      <c r="O44" s="1357" t="e">
        <f t="shared" si="12"/>
        <v>#VALUE!</v>
      </c>
      <c r="P44" s="1357" t="e">
        <f t="shared" si="12"/>
        <v>#VALUE!</v>
      </c>
      <c r="Q44" s="1357" t="e">
        <f t="shared" si="12"/>
        <v>#VALUE!</v>
      </c>
      <c r="R44" s="1357" t="e">
        <f t="shared" si="12"/>
        <v>#VALUE!</v>
      </c>
      <c r="S44" s="1357" t="e">
        <f t="shared" si="12"/>
        <v>#VALUE!</v>
      </c>
      <c r="T44" s="1357" t="e">
        <f t="shared" si="12"/>
        <v>#VALUE!</v>
      </c>
      <c r="U44" s="1357" t="e">
        <f t="shared" si="12"/>
        <v>#VALUE!</v>
      </c>
      <c r="V44" s="1357" t="e">
        <f t="shared" si="12"/>
        <v>#VALUE!</v>
      </c>
      <c r="W44" s="1357" t="e">
        <f t="shared" si="12"/>
        <v>#VALUE!</v>
      </c>
      <c r="X44" s="1357" t="e">
        <f t="shared" si="12"/>
        <v>#VALUE!</v>
      </c>
      <c r="Y44" s="1357" t="e">
        <f t="shared" si="12"/>
        <v>#VALUE!</v>
      </c>
      <c r="Z44" s="1357" t="e">
        <f t="shared" si="12"/>
        <v>#VALUE!</v>
      </c>
      <c r="AA44" s="1360" t="e">
        <f t="shared" si="12"/>
        <v>#VALUE!</v>
      </c>
    </row>
    <row r="45" spans="2:27" x14ac:dyDescent="0.2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25">
      <c r="B46" s="540" t="s">
        <v>105</v>
      </c>
      <c r="C46" s="541"/>
      <c r="D46" s="541"/>
      <c r="E46" s="209"/>
      <c r="F46" s="541"/>
      <c r="G46" s="1097">
        <f>SUM('III. Inputs, Renewable Energy'!$S$36)</f>
        <v>0</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25">
      <c r="B47" s="540" t="s">
        <v>106</v>
      </c>
      <c r="C47" s="541"/>
      <c r="D47" s="541"/>
      <c r="E47" s="209"/>
      <c r="F47" s="541"/>
      <c r="G47" s="1357" t="e">
        <f>NPV(G46,H44:AA44)+G44</f>
        <v>#VALUE!</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25">
      <c r="B48" s="540" t="s">
        <v>107</v>
      </c>
      <c r="C48" s="541"/>
      <c r="D48" s="541"/>
      <c r="E48" s="209"/>
      <c r="F48" s="541"/>
      <c r="G48" s="1357">
        <f>-NPV($G$46,H20:AA20)</f>
        <v>0</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3">
      <c r="B49" s="540" t="s">
        <v>108</v>
      </c>
      <c r="C49" s="541"/>
      <c r="D49" s="541"/>
      <c r="E49" s="209"/>
      <c r="F49" s="209" t="s">
        <v>625</v>
      </c>
      <c r="G49" s="1363" t="e">
        <f>IF(OR(G47=0, G48=0), 0, G47/G48)</f>
        <v>#VALUE!</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3">
      <c r="B50" s="556" t="s">
        <v>109</v>
      </c>
      <c r="C50" s="557"/>
      <c r="D50" s="557"/>
      <c r="E50" s="558"/>
      <c r="F50" s="558" t="s">
        <v>626</v>
      </c>
      <c r="G50" s="1364" t="e">
        <f>$G$49/(1-'III. Inputs, Renewable Energy'!$U$18)</f>
        <v>#VALUE!</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3">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3"/>
    <row r="53" spans="2:27" ht="10.5" customHeight="1" outlineLevel="1" x14ac:dyDescent="0.2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25">
      <c r="B54" s="553" t="s">
        <v>110</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2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25">
      <c r="B56" s="543" t="s">
        <v>58</v>
      </c>
      <c r="C56" s="544"/>
      <c r="D56" s="544"/>
      <c r="E56" s="545"/>
      <c r="F56" s="544"/>
      <c r="G56" s="545">
        <f>G16</f>
        <v>0</v>
      </c>
      <c r="H56" s="545">
        <f t="shared" ref="H56:AA56" si="13">H16</f>
        <v>1</v>
      </c>
      <c r="I56" s="545">
        <f t="shared" si="13"/>
        <v>2</v>
      </c>
      <c r="J56" s="545">
        <f t="shared" si="13"/>
        <v>3</v>
      </c>
      <c r="K56" s="545">
        <f t="shared" si="13"/>
        <v>4</v>
      </c>
      <c r="L56" s="545">
        <f t="shared" si="13"/>
        <v>5</v>
      </c>
      <c r="M56" s="545">
        <f t="shared" si="13"/>
        <v>6</v>
      </c>
      <c r="N56" s="545">
        <f t="shared" si="13"/>
        <v>7</v>
      </c>
      <c r="O56" s="545">
        <f t="shared" si="13"/>
        <v>8</v>
      </c>
      <c r="P56" s="545">
        <f t="shared" si="13"/>
        <v>9</v>
      </c>
      <c r="Q56" s="545">
        <f t="shared" si="13"/>
        <v>10</v>
      </c>
      <c r="R56" s="545">
        <f t="shared" si="13"/>
        <v>11</v>
      </c>
      <c r="S56" s="545">
        <f t="shared" si="13"/>
        <v>12</v>
      </c>
      <c r="T56" s="545">
        <f t="shared" si="13"/>
        <v>13</v>
      </c>
      <c r="U56" s="545">
        <f t="shared" si="13"/>
        <v>14</v>
      </c>
      <c r="V56" s="545">
        <f t="shared" si="13"/>
        <v>15</v>
      </c>
      <c r="W56" s="545">
        <f t="shared" si="13"/>
        <v>16</v>
      </c>
      <c r="X56" s="545">
        <f t="shared" si="13"/>
        <v>17</v>
      </c>
      <c r="Y56" s="545">
        <f t="shared" si="13"/>
        <v>18</v>
      </c>
      <c r="Z56" s="545">
        <f t="shared" si="13"/>
        <v>19</v>
      </c>
      <c r="AA56" s="545">
        <f t="shared" si="13"/>
        <v>20</v>
      </c>
    </row>
    <row r="57" spans="2:27" ht="17.25" customHeight="1" outlineLevel="1" x14ac:dyDescent="0.2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25">
      <c r="B58" s="540" t="s">
        <v>97</v>
      </c>
      <c r="C58" s="541"/>
      <c r="D58" s="541"/>
      <c r="E58" s="209"/>
      <c r="F58" s="209" t="s">
        <v>98</v>
      </c>
      <c r="G58" s="209"/>
      <c r="H58" s="566">
        <f>H20</f>
        <v>0</v>
      </c>
      <c r="I58" s="566">
        <f t="shared" ref="I58:AA58" si="14">I20</f>
        <v>0</v>
      </c>
      <c r="J58" s="566">
        <f t="shared" si="14"/>
        <v>0</v>
      </c>
      <c r="K58" s="566">
        <f t="shared" si="14"/>
        <v>0</v>
      </c>
      <c r="L58" s="566">
        <f t="shared" si="14"/>
        <v>0</v>
      </c>
      <c r="M58" s="566">
        <f t="shared" si="14"/>
        <v>0</v>
      </c>
      <c r="N58" s="566">
        <f t="shared" si="14"/>
        <v>0</v>
      </c>
      <c r="O58" s="566">
        <f t="shared" si="14"/>
        <v>0</v>
      </c>
      <c r="P58" s="566">
        <f t="shared" si="14"/>
        <v>0</v>
      </c>
      <c r="Q58" s="566">
        <f t="shared" si="14"/>
        <v>0</v>
      </c>
      <c r="R58" s="566">
        <f t="shared" si="14"/>
        <v>0</v>
      </c>
      <c r="S58" s="566">
        <f t="shared" si="14"/>
        <v>0</v>
      </c>
      <c r="T58" s="566">
        <f t="shared" si="14"/>
        <v>0</v>
      </c>
      <c r="U58" s="566">
        <f t="shared" si="14"/>
        <v>0</v>
      </c>
      <c r="V58" s="566">
        <f t="shared" si="14"/>
        <v>0</v>
      </c>
      <c r="W58" s="566">
        <f t="shared" si="14"/>
        <v>0</v>
      </c>
      <c r="X58" s="566">
        <f t="shared" si="14"/>
        <v>0</v>
      </c>
      <c r="Y58" s="566">
        <f t="shared" si="14"/>
        <v>0</v>
      </c>
      <c r="Z58" s="566">
        <f t="shared" si="14"/>
        <v>0</v>
      </c>
      <c r="AA58" s="566">
        <f t="shared" si="14"/>
        <v>0</v>
      </c>
    </row>
    <row r="59" spans="2:27" ht="17.25" customHeight="1" outlineLevel="1" x14ac:dyDescent="0.2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25">
      <c r="B60" s="540" t="s">
        <v>111</v>
      </c>
      <c r="C60" s="541"/>
      <c r="D60" s="541"/>
      <c r="E60" s="209"/>
      <c r="F60" s="209" t="s">
        <v>626</v>
      </c>
      <c r="G60" s="209"/>
      <c r="H60" s="1365" t="e">
        <f>$G$50</f>
        <v>#VALUE!</v>
      </c>
      <c r="I60" s="1365" t="e">
        <f t="shared" ref="I60:AA60" si="15">$G$50</f>
        <v>#VALUE!</v>
      </c>
      <c r="J60" s="1365" t="e">
        <f t="shared" si="15"/>
        <v>#VALUE!</v>
      </c>
      <c r="K60" s="1365" t="e">
        <f t="shared" si="15"/>
        <v>#VALUE!</v>
      </c>
      <c r="L60" s="1365" t="e">
        <f t="shared" si="15"/>
        <v>#VALUE!</v>
      </c>
      <c r="M60" s="1365" t="e">
        <f t="shared" si="15"/>
        <v>#VALUE!</v>
      </c>
      <c r="N60" s="1365" t="e">
        <f t="shared" si="15"/>
        <v>#VALUE!</v>
      </c>
      <c r="O60" s="1365" t="e">
        <f t="shared" si="15"/>
        <v>#VALUE!</v>
      </c>
      <c r="P60" s="1365" t="e">
        <f t="shared" si="15"/>
        <v>#VALUE!</v>
      </c>
      <c r="Q60" s="1365" t="e">
        <f t="shared" si="15"/>
        <v>#VALUE!</v>
      </c>
      <c r="R60" s="1365" t="e">
        <f t="shared" si="15"/>
        <v>#VALUE!</v>
      </c>
      <c r="S60" s="1365" t="e">
        <f t="shared" si="15"/>
        <v>#VALUE!</v>
      </c>
      <c r="T60" s="1365" t="e">
        <f t="shared" si="15"/>
        <v>#VALUE!</v>
      </c>
      <c r="U60" s="1365" t="e">
        <f t="shared" si="15"/>
        <v>#VALUE!</v>
      </c>
      <c r="V60" s="1365" t="e">
        <f t="shared" si="15"/>
        <v>#VALUE!</v>
      </c>
      <c r="W60" s="1365" t="e">
        <f t="shared" si="15"/>
        <v>#VALUE!</v>
      </c>
      <c r="X60" s="1365" t="e">
        <f t="shared" si="15"/>
        <v>#VALUE!</v>
      </c>
      <c r="Y60" s="1365" t="e">
        <f t="shared" si="15"/>
        <v>#VALUE!</v>
      </c>
      <c r="Z60" s="1365" t="e">
        <f t="shared" si="15"/>
        <v>#VALUE!</v>
      </c>
      <c r="AA60" s="1365" t="e">
        <f t="shared" si="15"/>
        <v>#VALUE!</v>
      </c>
    </row>
    <row r="61" spans="2:27" ht="17.25" customHeight="1" outlineLevel="1" x14ac:dyDescent="0.25">
      <c r="B61" s="554"/>
      <c r="C61" s="551"/>
      <c r="D61" s="551"/>
      <c r="E61" s="184"/>
      <c r="F61" s="184"/>
      <c r="G61" s="184"/>
      <c r="H61" s="568"/>
      <c r="I61" s="568"/>
      <c r="J61" s="568"/>
      <c r="K61" s="568"/>
      <c r="L61" s="568"/>
      <c r="M61" s="568"/>
      <c r="N61" s="568"/>
      <c r="O61" s="568"/>
      <c r="P61" s="568"/>
      <c r="Q61" s="568"/>
      <c r="R61" s="568"/>
      <c r="S61" s="568"/>
      <c r="T61" s="568"/>
      <c r="U61" s="568"/>
      <c r="V61" s="568"/>
      <c r="W61" s="568"/>
      <c r="X61" s="568"/>
      <c r="Y61" s="568"/>
      <c r="Z61" s="568"/>
      <c r="AA61" s="568"/>
    </row>
    <row r="62" spans="2:27" ht="17.25" customHeight="1" outlineLevel="1" x14ac:dyDescent="0.25">
      <c r="B62" s="540" t="s">
        <v>112</v>
      </c>
      <c r="C62" s="541"/>
      <c r="D62" s="541"/>
      <c r="E62" s="209"/>
      <c r="F62" s="209" t="s">
        <v>22</v>
      </c>
      <c r="G62" s="1200"/>
      <c r="H62" s="1366" t="e">
        <f>H58*H60</f>
        <v>#VALUE!</v>
      </c>
      <c r="I62" s="1366" t="e">
        <f t="shared" ref="I62:AA62" si="16">I58*I60</f>
        <v>#VALUE!</v>
      </c>
      <c r="J62" s="1366" t="e">
        <f t="shared" si="16"/>
        <v>#VALUE!</v>
      </c>
      <c r="K62" s="1366" t="e">
        <f t="shared" si="16"/>
        <v>#VALUE!</v>
      </c>
      <c r="L62" s="1366" t="e">
        <f t="shared" si="16"/>
        <v>#VALUE!</v>
      </c>
      <c r="M62" s="1366" t="e">
        <f t="shared" si="16"/>
        <v>#VALUE!</v>
      </c>
      <c r="N62" s="1366" t="e">
        <f t="shared" si="16"/>
        <v>#VALUE!</v>
      </c>
      <c r="O62" s="1366" t="e">
        <f t="shared" si="16"/>
        <v>#VALUE!</v>
      </c>
      <c r="P62" s="1366" t="e">
        <f t="shared" si="16"/>
        <v>#VALUE!</v>
      </c>
      <c r="Q62" s="1366" t="e">
        <f t="shared" si="16"/>
        <v>#VALUE!</v>
      </c>
      <c r="R62" s="1366" t="e">
        <f t="shared" si="16"/>
        <v>#VALUE!</v>
      </c>
      <c r="S62" s="1366" t="e">
        <f t="shared" si="16"/>
        <v>#VALUE!</v>
      </c>
      <c r="T62" s="1366" t="e">
        <f t="shared" si="16"/>
        <v>#VALUE!</v>
      </c>
      <c r="U62" s="1366" t="e">
        <f t="shared" si="16"/>
        <v>#VALUE!</v>
      </c>
      <c r="V62" s="1366" t="e">
        <f t="shared" si="16"/>
        <v>#VALUE!</v>
      </c>
      <c r="W62" s="1366" t="e">
        <f t="shared" si="16"/>
        <v>#VALUE!</v>
      </c>
      <c r="X62" s="1366" t="e">
        <f t="shared" si="16"/>
        <v>#VALUE!</v>
      </c>
      <c r="Y62" s="1366" t="e">
        <f t="shared" si="16"/>
        <v>#VALUE!</v>
      </c>
      <c r="Z62" s="1366" t="e">
        <f t="shared" si="16"/>
        <v>#VALUE!</v>
      </c>
      <c r="AA62" s="1366" t="e">
        <f t="shared" si="16"/>
        <v>#VALUE!</v>
      </c>
    </row>
    <row r="63" spans="2:27" ht="6.75" customHeight="1" outlineLevel="1" x14ac:dyDescent="0.25">
      <c r="B63" s="540"/>
      <c r="C63" s="541"/>
      <c r="D63" s="541"/>
      <c r="E63" s="209"/>
      <c r="F63" s="209"/>
      <c r="G63" s="1200"/>
      <c r="H63" s="1366"/>
      <c r="I63" s="1366"/>
      <c r="J63" s="1366"/>
      <c r="K63" s="1366"/>
      <c r="L63" s="1366"/>
      <c r="M63" s="1366"/>
      <c r="N63" s="1366"/>
      <c r="O63" s="1366"/>
      <c r="P63" s="1366"/>
      <c r="Q63" s="1366"/>
      <c r="R63" s="1366"/>
      <c r="S63" s="1366"/>
      <c r="T63" s="1366"/>
      <c r="U63" s="1366"/>
      <c r="V63" s="1366"/>
      <c r="W63" s="1366"/>
      <c r="X63" s="1366"/>
      <c r="Y63" s="1366"/>
      <c r="Z63" s="1366"/>
      <c r="AA63" s="1366"/>
    </row>
    <row r="64" spans="2:27" ht="17.25" customHeight="1" outlineLevel="1" x14ac:dyDescent="0.25">
      <c r="B64" s="540" t="s">
        <v>113</v>
      </c>
      <c r="C64" s="541"/>
      <c r="D64" s="541"/>
      <c r="E64" s="209"/>
      <c r="F64" s="209" t="s">
        <v>22</v>
      </c>
      <c r="G64" s="1200"/>
      <c r="H64" s="1366">
        <f>-H24</f>
        <v>-3497802.0000000005</v>
      </c>
      <c r="I64" s="1366">
        <f t="shared" ref="I64:AA64" si="17">-I24</f>
        <v>-5771370</v>
      </c>
      <c r="J64" s="1366">
        <f t="shared" si="17"/>
        <v>-8044938.0000000009</v>
      </c>
      <c r="K64" s="1366">
        <f t="shared" si="17"/>
        <v>-10318506.000000002</v>
      </c>
      <c r="L64" s="1366">
        <f t="shared" si="17"/>
        <v>-12592074.000000002</v>
      </c>
      <c r="M64" s="1366">
        <f t="shared" si="17"/>
        <v>-14865642.000000004</v>
      </c>
      <c r="N64" s="1366">
        <f t="shared" si="17"/>
        <v>-17139210.000000004</v>
      </c>
      <c r="O64" s="1366">
        <f t="shared" si="17"/>
        <v>-19412778.000000004</v>
      </c>
      <c r="P64" s="1366">
        <f t="shared" si="17"/>
        <v>-21686346</v>
      </c>
      <c r="Q64" s="1366">
        <f t="shared" si="17"/>
        <v>-23959914</v>
      </c>
      <c r="R64" s="1366">
        <f t="shared" si="17"/>
        <v>-26233482.000000004</v>
      </c>
      <c r="S64" s="1366">
        <f t="shared" si="17"/>
        <v>-28507050.000000007</v>
      </c>
      <c r="T64" s="1366">
        <f t="shared" si="17"/>
        <v>-30780618.000000004</v>
      </c>
      <c r="U64" s="1366">
        <f t="shared" si="17"/>
        <v>-33054186.000000007</v>
      </c>
      <c r="V64" s="1366">
        <f t="shared" si="17"/>
        <v>-35327754</v>
      </c>
      <c r="W64" s="1366">
        <f t="shared" si="17"/>
        <v>-37601322.000000007</v>
      </c>
      <c r="X64" s="1366">
        <f t="shared" si="17"/>
        <v>-39874890.000000007</v>
      </c>
      <c r="Y64" s="1366">
        <f t="shared" si="17"/>
        <v>-42148458.000000007</v>
      </c>
      <c r="Z64" s="1366">
        <f t="shared" si="17"/>
        <v>-44422026.000000007</v>
      </c>
      <c r="AA64" s="1366">
        <f t="shared" si="17"/>
        <v>-46695594</v>
      </c>
    </row>
    <row r="65" spans="2:27" ht="4.5" customHeight="1" outlineLevel="1" x14ac:dyDescent="0.25">
      <c r="B65" s="540"/>
      <c r="C65" s="541"/>
      <c r="D65" s="541"/>
      <c r="E65" s="209"/>
      <c r="F65" s="209"/>
      <c r="G65" s="1200"/>
      <c r="H65" s="1366"/>
      <c r="I65" s="1366"/>
      <c r="J65" s="1366"/>
      <c r="K65" s="1366"/>
      <c r="L65" s="1366"/>
      <c r="M65" s="1366"/>
      <c r="N65" s="1366"/>
      <c r="O65" s="1366"/>
      <c r="P65" s="1366"/>
      <c r="Q65" s="1366"/>
      <c r="R65" s="1366"/>
      <c r="S65" s="1366"/>
      <c r="T65" s="1366"/>
      <c r="U65" s="1366"/>
      <c r="V65" s="1366"/>
      <c r="W65" s="1366"/>
      <c r="X65" s="1366"/>
      <c r="Y65" s="1366"/>
      <c r="Z65" s="1366"/>
      <c r="AA65" s="1366"/>
    </row>
    <row r="66" spans="2:27" ht="17.25" customHeight="1" outlineLevel="1" x14ac:dyDescent="0.25">
      <c r="B66" s="553" t="s">
        <v>114</v>
      </c>
      <c r="C66" s="569"/>
      <c r="D66" s="569"/>
      <c r="E66" s="570"/>
      <c r="F66" s="570"/>
      <c r="G66" s="1202"/>
      <c r="H66" s="1367" t="e">
        <f>H62+H64</f>
        <v>#VALUE!</v>
      </c>
      <c r="I66" s="1367" t="e">
        <f t="shared" ref="I66:AA66" si="18">I62+I64</f>
        <v>#VALUE!</v>
      </c>
      <c r="J66" s="1367" t="e">
        <f t="shared" si="18"/>
        <v>#VALUE!</v>
      </c>
      <c r="K66" s="1367" t="e">
        <f t="shared" si="18"/>
        <v>#VALUE!</v>
      </c>
      <c r="L66" s="1367" t="e">
        <f t="shared" si="18"/>
        <v>#VALUE!</v>
      </c>
      <c r="M66" s="1367" t="e">
        <f t="shared" si="18"/>
        <v>#VALUE!</v>
      </c>
      <c r="N66" s="1367" t="e">
        <f t="shared" si="18"/>
        <v>#VALUE!</v>
      </c>
      <c r="O66" s="1367" t="e">
        <f t="shared" si="18"/>
        <v>#VALUE!</v>
      </c>
      <c r="P66" s="1367" t="e">
        <f t="shared" si="18"/>
        <v>#VALUE!</v>
      </c>
      <c r="Q66" s="1367" t="e">
        <f t="shared" si="18"/>
        <v>#VALUE!</v>
      </c>
      <c r="R66" s="1367" t="e">
        <f t="shared" si="18"/>
        <v>#VALUE!</v>
      </c>
      <c r="S66" s="1367" t="e">
        <f t="shared" si="18"/>
        <v>#VALUE!</v>
      </c>
      <c r="T66" s="1367" t="e">
        <f t="shared" si="18"/>
        <v>#VALUE!</v>
      </c>
      <c r="U66" s="1367" t="e">
        <f t="shared" si="18"/>
        <v>#VALUE!</v>
      </c>
      <c r="V66" s="1367" t="e">
        <f t="shared" si="18"/>
        <v>#VALUE!</v>
      </c>
      <c r="W66" s="1367" t="e">
        <f t="shared" si="18"/>
        <v>#VALUE!</v>
      </c>
      <c r="X66" s="1367" t="e">
        <f t="shared" si="18"/>
        <v>#VALUE!</v>
      </c>
      <c r="Y66" s="1367" t="e">
        <f t="shared" si="18"/>
        <v>#VALUE!</v>
      </c>
      <c r="Z66" s="1367" t="e">
        <f t="shared" si="18"/>
        <v>#VALUE!</v>
      </c>
      <c r="AA66" s="1367" t="e">
        <f t="shared" si="18"/>
        <v>#VALUE!</v>
      </c>
    </row>
    <row r="67" spans="2:27" ht="7.5" customHeight="1" outlineLevel="1" x14ac:dyDescent="0.25">
      <c r="B67" s="540"/>
      <c r="C67" s="541"/>
      <c r="D67" s="541"/>
      <c r="E67" s="209"/>
      <c r="F67" s="209"/>
      <c r="G67" s="1200"/>
      <c r="H67" s="1366"/>
      <c r="I67" s="1366"/>
      <c r="J67" s="1366"/>
      <c r="K67" s="1366"/>
      <c r="L67" s="1366"/>
      <c r="M67" s="1366"/>
      <c r="N67" s="1366"/>
      <c r="O67" s="1366"/>
      <c r="P67" s="1366"/>
      <c r="Q67" s="1366"/>
      <c r="R67" s="1366"/>
      <c r="S67" s="1366"/>
      <c r="T67" s="1366"/>
      <c r="U67" s="1366"/>
      <c r="V67" s="1366"/>
      <c r="W67" s="1366"/>
      <c r="X67" s="1366"/>
      <c r="Y67" s="1366"/>
      <c r="Z67" s="1366"/>
      <c r="AA67" s="1366"/>
    </row>
    <row r="68" spans="2:27" ht="17.25" customHeight="1" outlineLevel="1" x14ac:dyDescent="0.25">
      <c r="B68" s="540" t="s">
        <v>115</v>
      </c>
      <c r="C68" s="541"/>
      <c r="D68" s="541"/>
      <c r="E68" s="209"/>
      <c r="F68" s="209"/>
      <c r="G68" s="1200"/>
      <c r="H68" s="1366" t="e">
        <f>-H26</f>
        <v>#VALUE!</v>
      </c>
      <c r="I68" s="1366" t="e">
        <f t="shared" ref="I68:AA68" si="19">-I26</f>
        <v>#VALUE!</v>
      </c>
      <c r="J68" s="1366" t="e">
        <f t="shared" si="19"/>
        <v>#VALUE!</v>
      </c>
      <c r="K68" s="1366" t="e">
        <f t="shared" si="19"/>
        <v>#VALUE!</v>
      </c>
      <c r="L68" s="1366" t="e">
        <f t="shared" si="19"/>
        <v>#VALUE!</v>
      </c>
      <c r="M68" s="1366" t="e">
        <f t="shared" si="19"/>
        <v>#VALUE!</v>
      </c>
      <c r="N68" s="1366" t="e">
        <f t="shared" si="19"/>
        <v>#VALUE!</v>
      </c>
      <c r="O68" s="1366" t="e">
        <f t="shared" si="19"/>
        <v>#VALUE!</v>
      </c>
      <c r="P68" s="1366" t="e">
        <f t="shared" si="19"/>
        <v>#VALUE!</v>
      </c>
      <c r="Q68" s="1366" t="e">
        <f t="shared" si="19"/>
        <v>#VALUE!</v>
      </c>
      <c r="R68" s="1366" t="e">
        <f t="shared" si="19"/>
        <v>#VALUE!</v>
      </c>
      <c r="S68" s="1366" t="e">
        <f t="shared" si="19"/>
        <v>#VALUE!</v>
      </c>
      <c r="T68" s="1366" t="e">
        <f t="shared" si="19"/>
        <v>#VALUE!</v>
      </c>
      <c r="U68" s="1366" t="e">
        <f t="shared" si="19"/>
        <v>#VALUE!</v>
      </c>
      <c r="V68" s="1366" t="e">
        <f t="shared" si="19"/>
        <v>#VALUE!</v>
      </c>
      <c r="W68" s="1366" t="e">
        <f t="shared" si="19"/>
        <v>#VALUE!</v>
      </c>
      <c r="X68" s="1366" t="e">
        <f t="shared" si="19"/>
        <v>#VALUE!</v>
      </c>
      <c r="Y68" s="1366" t="e">
        <f t="shared" si="19"/>
        <v>#VALUE!</v>
      </c>
      <c r="Z68" s="1366" t="e">
        <f t="shared" si="19"/>
        <v>#VALUE!</v>
      </c>
      <c r="AA68" s="1366" t="e">
        <f t="shared" si="19"/>
        <v>#VALUE!</v>
      </c>
    </row>
    <row r="69" spans="2:27" ht="9" customHeight="1" outlineLevel="1" x14ac:dyDescent="0.25">
      <c r="B69" s="540"/>
      <c r="C69" s="541"/>
      <c r="D69" s="541"/>
      <c r="E69" s="209"/>
      <c r="F69" s="209"/>
      <c r="G69" s="1200"/>
      <c r="H69" s="1366"/>
      <c r="I69" s="1366"/>
      <c r="J69" s="1366"/>
      <c r="K69" s="1366"/>
      <c r="L69" s="1366"/>
      <c r="M69" s="1366"/>
      <c r="N69" s="1366"/>
      <c r="O69" s="1366"/>
      <c r="P69" s="1366"/>
      <c r="Q69" s="1366"/>
      <c r="R69" s="1366"/>
      <c r="S69" s="1366"/>
      <c r="T69" s="1366"/>
      <c r="U69" s="1366"/>
      <c r="V69" s="1366"/>
      <c r="W69" s="1366"/>
      <c r="X69" s="1366"/>
      <c r="Y69" s="1366"/>
      <c r="Z69" s="1366"/>
      <c r="AA69" s="1366"/>
    </row>
    <row r="70" spans="2:27" ht="17.25" customHeight="1" outlineLevel="1" x14ac:dyDescent="0.25">
      <c r="B70" s="553" t="s">
        <v>116</v>
      </c>
      <c r="C70" s="569"/>
      <c r="D70" s="569"/>
      <c r="E70" s="570"/>
      <c r="F70" s="570"/>
      <c r="G70" s="1202"/>
      <c r="H70" s="1367" t="e">
        <f>H66+H68</f>
        <v>#VALUE!</v>
      </c>
      <c r="I70" s="1367" t="e">
        <f t="shared" ref="I70:AA70" si="20">I66+I68</f>
        <v>#VALUE!</v>
      </c>
      <c r="J70" s="1367" t="e">
        <f t="shared" si="20"/>
        <v>#VALUE!</v>
      </c>
      <c r="K70" s="1367" t="e">
        <f t="shared" si="20"/>
        <v>#VALUE!</v>
      </c>
      <c r="L70" s="1367" t="e">
        <f t="shared" si="20"/>
        <v>#VALUE!</v>
      </c>
      <c r="M70" s="1367" t="e">
        <f t="shared" si="20"/>
        <v>#VALUE!</v>
      </c>
      <c r="N70" s="1367" t="e">
        <f t="shared" si="20"/>
        <v>#VALUE!</v>
      </c>
      <c r="O70" s="1367" t="e">
        <f t="shared" si="20"/>
        <v>#VALUE!</v>
      </c>
      <c r="P70" s="1367" t="e">
        <f t="shared" si="20"/>
        <v>#VALUE!</v>
      </c>
      <c r="Q70" s="1367" t="e">
        <f t="shared" si="20"/>
        <v>#VALUE!</v>
      </c>
      <c r="R70" s="1367" t="e">
        <f t="shared" si="20"/>
        <v>#VALUE!</v>
      </c>
      <c r="S70" s="1367" t="e">
        <f t="shared" si="20"/>
        <v>#VALUE!</v>
      </c>
      <c r="T70" s="1367" t="e">
        <f t="shared" si="20"/>
        <v>#VALUE!</v>
      </c>
      <c r="U70" s="1367" t="e">
        <f t="shared" si="20"/>
        <v>#VALUE!</v>
      </c>
      <c r="V70" s="1367" t="e">
        <f t="shared" si="20"/>
        <v>#VALUE!</v>
      </c>
      <c r="W70" s="1367" t="e">
        <f t="shared" si="20"/>
        <v>#VALUE!</v>
      </c>
      <c r="X70" s="1367" t="e">
        <f t="shared" si="20"/>
        <v>#VALUE!</v>
      </c>
      <c r="Y70" s="1367" t="e">
        <f t="shared" si="20"/>
        <v>#VALUE!</v>
      </c>
      <c r="Z70" s="1367" t="e">
        <f t="shared" si="20"/>
        <v>#VALUE!</v>
      </c>
      <c r="AA70" s="1367" t="e">
        <f t="shared" si="20"/>
        <v>#VALUE!</v>
      </c>
    </row>
    <row r="71" spans="2:27" ht="6.75" customHeight="1" outlineLevel="1" x14ac:dyDescent="0.25">
      <c r="B71" s="540"/>
      <c r="C71" s="541"/>
      <c r="D71" s="541"/>
      <c r="E71" s="209"/>
      <c r="F71" s="209"/>
      <c r="G71" s="1200"/>
      <c r="H71" s="1366"/>
      <c r="I71" s="1366"/>
      <c r="J71" s="1366"/>
      <c r="K71" s="1366"/>
      <c r="L71" s="1366"/>
      <c r="M71" s="1366"/>
      <c r="N71" s="1366"/>
      <c r="O71" s="1366"/>
      <c r="P71" s="1366"/>
      <c r="Q71" s="1366"/>
      <c r="R71" s="1366"/>
      <c r="S71" s="1366"/>
      <c r="T71" s="1366"/>
      <c r="U71" s="1366"/>
      <c r="V71" s="1366"/>
      <c r="W71" s="1366"/>
      <c r="X71" s="1366"/>
      <c r="Y71" s="1366"/>
      <c r="Z71" s="1366"/>
      <c r="AA71" s="1366"/>
    </row>
    <row r="72" spans="2:27" ht="17.25" customHeight="1" outlineLevel="1" x14ac:dyDescent="0.25">
      <c r="B72" s="540" t="str">
        <f t="shared" ref="B72:B77" si="21">B28</f>
        <v xml:space="preserve">Interest Expense, public loan </v>
      </c>
      <c r="C72" s="541"/>
      <c r="D72" s="541"/>
      <c r="E72" s="209"/>
      <c r="F72" s="209"/>
      <c r="G72" s="1200"/>
      <c r="H72" s="1366">
        <f t="shared" ref="H72:H77" si="22">-H28</f>
        <v>0</v>
      </c>
      <c r="I72" s="1366">
        <f t="shared" ref="I72:AA72" si="23">-I28</f>
        <v>0</v>
      </c>
      <c r="J72" s="1366">
        <f t="shared" si="23"/>
        <v>0</v>
      </c>
      <c r="K72" s="1366">
        <f t="shared" si="23"/>
        <v>0</v>
      </c>
      <c r="L72" s="1366">
        <f t="shared" si="23"/>
        <v>0</v>
      </c>
      <c r="M72" s="1366">
        <f t="shared" si="23"/>
        <v>0</v>
      </c>
      <c r="N72" s="1366">
        <f t="shared" si="23"/>
        <v>0</v>
      </c>
      <c r="O72" s="1366">
        <f t="shared" si="23"/>
        <v>0</v>
      </c>
      <c r="P72" s="1366">
        <f t="shared" si="23"/>
        <v>0</v>
      </c>
      <c r="Q72" s="1366">
        <f t="shared" si="23"/>
        <v>0</v>
      </c>
      <c r="R72" s="1366">
        <f t="shared" si="23"/>
        <v>0</v>
      </c>
      <c r="S72" s="1366">
        <f t="shared" si="23"/>
        <v>0</v>
      </c>
      <c r="T72" s="1366">
        <f t="shared" si="23"/>
        <v>0</v>
      </c>
      <c r="U72" s="1366">
        <f t="shared" si="23"/>
        <v>0</v>
      </c>
      <c r="V72" s="1366">
        <f t="shared" si="23"/>
        <v>0</v>
      </c>
      <c r="W72" s="1366">
        <f t="shared" si="23"/>
        <v>0</v>
      </c>
      <c r="X72" s="1366">
        <f t="shared" si="23"/>
        <v>0</v>
      </c>
      <c r="Y72" s="1366">
        <f t="shared" si="23"/>
        <v>0</v>
      </c>
      <c r="Z72" s="1366">
        <f t="shared" si="23"/>
        <v>0</v>
      </c>
      <c r="AA72" s="1366">
        <f t="shared" si="23"/>
        <v>0</v>
      </c>
    </row>
    <row r="73" spans="2:27" ht="17.25" customHeight="1" outlineLevel="1" x14ac:dyDescent="0.25">
      <c r="B73" s="540" t="str">
        <f t="shared" si="21"/>
        <v>Interest Expense, commercial loan with public guarantees</v>
      </c>
      <c r="C73" s="541"/>
      <c r="D73" s="541"/>
      <c r="E73" s="209"/>
      <c r="F73" s="209"/>
      <c r="G73" s="1200"/>
      <c r="H73" s="1366">
        <f t="shared" si="22"/>
        <v>0</v>
      </c>
      <c r="I73" s="1366">
        <f t="shared" ref="I73:AA73" si="24">-I29</f>
        <v>0</v>
      </c>
      <c r="J73" s="1366">
        <f t="shared" si="24"/>
        <v>0</v>
      </c>
      <c r="K73" s="1366">
        <f t="shared" si="24"/>
        <v>0</v>
      </c>
      <c r="L73" s="1366">
        <f t="shared" si="24"/>
        <v>0</v>
      </c>
      <c r="M73" s="1366">
        <f t="shared" si="24"/>
        <v>0</v>
      </c>
      <c r="N73" s="1366">
        <f t="shared" si="24"/>
        <v>0</v>
      </c>
      <c r="O73" s="1366">
        <f t="shared" si="24"/>
        <v>0</v>
      </c>
      <c r="P73" s="1366">
        <f t="shared" si="24"/>
        <v>0</v>
      </c>
      <c r="Q73" s="1366">
        <f t="shared" si="24"/>
        <v>0</v>
      </c>
      <c r="R73" s="1366">
        <f t="shared" si="24"/>
        <v>0</v>
      </c>
      <c r="S73" s="1366">
        <f t="shared" si="24"/>
        <v>0</v>
      </c>
      <c r="T73" s="1366">
        <f t="shared" si="24"/>
        <v>0</v>
      </c>
      <c r="U73" s="1366">
        <f t="shared" si="24"/>
        <v>0</v>
      </c>
      <c r="V73" s="1366">
        <f t="shared" si="24"/>
        <v>0</v>
      </c>
      <c r="W73" s="1366">
        <f t="shared" si="24"/>
        <v>0</v>
      </c>
      <c r="X73" s="1366">
        <f t="shared" si="24"/>
        <v>0</v>
      </c>
      <c r="Y73" s="1366">
        <f t="shared" si="24"/>
        <v>0</v>
      </c>
      <c r="Z73" s="1366">
        <f t="shared" si="24"/>
        <v>0</v>
      </c>
      <c r="AA73" s="1366">
        <f t="shared" si="24"/>
        <v>0</v>
      </c>
    </row>
    <row r="74" spans="2:27" ht="17.25" customHeight="1" outlineLevel="1" x14ac:dyDescent="0.25">
      <c r="B74" s="540" t="str">
        <f t="shared" si="21"/>
        <v>Interest Expense, commercial loan without public guarantees</v>
      </c>
      <c r="C74" s="541"/>
      <c r="D74" s="541"/>
      <c r="E74" s="209"/>
      <c r="F74" s="209"/>
      <c r="G74" s="1200"/>
      <c r="H74" s="1366">
        <f t="shared" si="22"/>
        <v>0</v>
      </c>
      <c r="I74" s="1366">
        <f t="shared" ref="I74:AA74" si="25">-I30</f>
        <v>0</v>
      </c>
      <c r="J74" s="1366">
        <f t="shared" si="25"/>
        <v>0</v>
      </c>
      <c r="K74" s="1366">
        <f t="shared" si="25"/>
        <v>0</v>
      </c>
      <c r="L74" s="1366">
        <f t="shared" si="25"/>
        <v>0</v>
      </c>
      <c r="M74" s="1366">
        <f t="shared" si="25"/>
        <v>0</v>
      </c>
      <c r="N74" s="1366">
        <f t="shared" si="25"/>
        <v>0</v>
      </c>
      <c r="O74" s="1366">
        <f t="shared" si="25"/>
        <v>0</v>
      </c>
      <c r="P74" s="1366">
        <f t="shared" si="25"/>
        <v>0</v>
      </c>
      <c r="Q74" s="1366">
        <f t="shared" si="25"/>
        <v>0</v>
      </c>
      <c r="R74" s="1366">
        <f t="shared" si="25"/>
        <v>0</v>
      </c>
      <c r="S74" s="1366">
        <f t="shared" si="25"/>
        <v>0</v>
      </c>
      <c r="T74" s="1366">
        <f t="shared" si="25"/>
        <v>0</v>
      </c>
      <c r="U74" s="1366">
        <f t="shared" si="25"/>
        <v>0</v>
      </c>
      <c r="V74" s="1366">
        <f t="shared" si="25"/>
        <v>0</v>
      </c>
      <c r="W74" s="1366">
        <f t="shared" si="25"/>
        <v>0</v>
      </c>
      <c r="X74" s="1366">
        <f t="shared" si="25"/>
        <v>0</v>
      </c>
      <c r="Y74" s="1366">
        <f t="shared" si="25"/>
        <v>0</v>
      </c>
      <c r="Z74" s="1366">
        <f t="shared" si="25"/>
        <v>0</v>
      </c>
      <c r="AA74" s="1366">
        <f t="shared" si="25"/>
        <v>0</v>
      </c>
    </row>
    <row r="75" spans="2:27" ht="17.25" customHeight="1" outlineLevel="1" x14ac:dyDescent="0.25">
      <c r="B75" s="540" t="str">
        <f t="shared" si="21"/>
        <v xml:space="preserve">Front-end Fees </v>
      </c>
      <c r="C75" s="541"/>
      <c r="D75" s="541"/>
      <c r="E75" s="209"/>
      <c r="F75" s="209"/>
      <c r="G75" s="1200"/>
      <c r="H75" s="1366">
        <f t="shared" si="22"/>
        <v>0</v>
      </c>
      <c r="I75" s="1366">
        <f t="shared" ref="I75:AA75" si="26">-I31</f>
        <v>0</v>
      </c>
      <c r="J75" s="1366">
        <f t="shared" si="26"/>
        <v>0</v>
      </c>
      <c r="K75" s="1366">
        <f t="shared" si="26"/>
        <v>0</v>
      </c>
      <c r="L75" s="1366">
        <f t="shared" si="26"/>
        <v>0</v>
      </c>
      <c r="M75" s="1366">
        <f t="shared" si="26"/>
        <v>0</v>
      </c>
      <c r="N75" s="1366">
        <f t="shared" si="26"/>
        <v>0</v>
      </c>
      <c r="O75" s="1366">
        <f t="shared" si="26"/>
        <v>0</v>
      </c>
      <c r="P75" s="1366">
        <f t="shared" si="26"/>
        <v>0</v>
      </c>
      <c r="Q75" s="1366">
        <f t="shared" si="26"/>
        <v>0</v>
      </c>
      <c r="R75" s="1366">
        <f t="shared" si="26"/>
        <v>0</v>
      </c>
      <c r="S75" s="1366">
        <f t="shared" si="26"/>
        <v>0</v>
      </c>
      <c r="T75" s="1366">
        <f t="shared" si="26"/>
        <v>0</v>
      </c>
      <c r="U75" s="1366">
        <f t="shared" si="26"/>
        <v>0</v>
      </c>
      <c r="V75" s="1366">
        <f t="shared" si="26"/>
        <v>0</v>
      </c>
      <c r="W75" s="1366">
        <f t="shared" si="26"/>
        <v>0</v>
      </c>
      <c r="X75" s="1366">
        <f t="shared" si="26"/>
        <v>0</v>
      </c>
      <c r="Y75" s="1366">
        <f t="shared" si="26"/>
        <v>0</v>
      </c>
      <c r="Z75" s="1366">
        <f t="shared" si="26"/>
        <v>0</v>
      </c>
      <c r="AA75" s="1366">
        <f t="shared" si="26"/>
        <v>0</v>
      </c>
    </row>
    <row r="76" spans="2:27" ht="17.25" customHeight="1" outlineLevel="1" x14ac:dyDescent="0.25">
      <c r="B76" s="540" t="str">
        <f t="shared" si="21"/>
        <v xml:space="preserve">Public Guarantee Fees </v>
      </c>
      <c r="C76" s="541"/>
      <c r="D76" s="541"/>
      <c r="E76" s="209"/>
      <c r="F76" s="209"/>
      <c r="G76" s="1200"/>
      <c r="H76" s="1366">
        <f t="shared" si="22"/>
        <v>0</v>
      </c>
      <c r="I76" s="1366">
        <f t="shared" ref="I76:AA76" si="27">-I32</f>
        <v>0</v>
      </c>
      <c r="J76" s="1366">
        <f t="shared" si="27"/>
        <v>0</v>
      </c>
      <c r="K76" s="1366">
        <f t="shared" si="27"/>
        <v>0</v>
      </c>
      <c r="L76" s="1366">
        <f t="shared" si="27"/>
        <v>0</v>
      </c>
      <c r="M76" s="1366">
        <f t="shared" si="27"/>
        <v>0</v>
      </c>
      <c r="N76" s="1366">
        <f t="shared" si="27"/>
        <v>0</v>
      </c>
      <c r="O76" s="1366">
        <f t="shared" si="27"/>
        <v>0</v>
      </c>
      <c r="P76" s="1366">
        <f t="shared" si="27"/>
        <v>0</v>
      </c>
      <c r="Q76" s="1366">
        <f t="shared" si="27"/>
        <v>0</v>
      </c>
      <c r="R76" s="1366">
        <f t="shared" si="27"/>
        <v>0</v>
      </c>
      <c r="S76" s="1366">
        <f t="shared" si="27"/>
        <v>0</v>
      </c>
      <c r="T76" s="1366">
        <f t="shared" si="27"/>
        <v>0</v>
      </c>
      <c r="U76" s="1366">
        <f t="shared" si="27"/>
        <v>0</v>
      </c>
      <c r="V76" s="1366">
        <f t="shared" si="27"/>
        <v>0</v>
      </c>
      <c r="W76" s="1366">
        <f t="shared" si="27"/>
        <v>0</v>
      </c>
      <c r="X76" s="1366">
        <f t="shared" si="27"/>
        <v>0</v>
      </c>
      <c r="Y76" s="1366">
        <f t="shared" si="27"/>
        <v>0</v>
      </c>
      <c r="Z76" s="1366">
        <f t="shared" si="27"/>
        <v>0</v>
      </c>
      <c r="AA76" s="1366">
        <f t="shared" si="27"/>
        <v>0</v>
      </c>
    </row>
    <row r="77" spans="2:27" ht="17.25" customHeight="1" outlineLevel="1" x14ac:dyDescent="0.25">
      <c r="B77" s="540" t="str">
        <f t="shared" si="21"/>
        <v>Political Risk Insurance - Fees &amp; Annual Premium Payments</v>
      </c>
      <c r="C77" s="541"/>
      <c r="D77" s="541"/>
      <c r="E77" s="209"/>
      <c r="F77" s="209"/>
      <c r="G77" s="1200"/>
      <c r="H77" s="1366">
        <f t="shared" si="22"/>
        <v>0</v>
      </c>
      <c r="I77" s="1366">
        <f t="shared" ref="I77:AA77" si="28">-I33</f>
        <v>0</v>
      </c>
      <c r="J77" s="1366">
        <f t="shared" si="28"/>
        <v>0</v>
      </c>
      <c r="K77" s="1366">
        <f t="shared" si="28"/>
        <v>0</v>
      </c>
      <c r="L77" s="1366">
        <f t="shared" si="28"/>
        <v>0</v>
      </c>
      <c r="M77" s="1366">
        <f t="shared" si="28"/>
        <v>0</v>
      </c>
      <c r="N77" s="1366">
        <f t="shared" si="28"/>
        <v>0</v>
      </c>
      <c r="O77" s="1366">
        <f t="shared" si="28"/>
        <v>0</v>
      </c>
      <c r="P77" s="1366">
        <f t="shared" si="28"/>
        <v>0</v>
      </c>
      <c r="Q77" s="1366">
        <f t="shared" si="28"/>
        <v>0</v>
      </c>
      <c r="R77" s="1366">
        <f t="shared" si="28"/>
        <v>0</v>
      </c>
      <c r="S77" s="1366">
        <f t="shared" si="28"/>
        <v>0</v>
      </c>
      <c r="T77" s="1366">
        <f t="shared" si="28"/>
        <v>0</v>
      </c>
      <c r="U77" s="1366">
        <f t="shared" si="28"/>
        <v>0</v>
      </c>
      <c r="V77" s="1366">
        <f t="shared" si="28"/>
        <v>0</v>
      </c>
      <c r="W77" s="1366">
        <f t="shared" si="28"/>
        <v>0</v>
      </c>
      <c r="X77" s="1366">
        <f t="shared" si="28"/>
        <v>0</v>
      </c>
      <c r="Y77" s="1366">
        <f t="shared" si="28"/>
        <v>0</v>
      </c>
      <c r="Z77" s="1366">
        <f t="shared" si="28"/>
        <v>0</v>
      </c>
      <c r="AA77" s="1366">
        <f t="shared" si="28"/>
        <v>0</v>
      </c>
    </row>
    <row r="78" spans="2:27" ht="9.75" customHeight="1" outlineLevel="1" x14ac:dyDescent="0.25">
      <c r="B78" s="540"/>
      <c r="C78" s="541"/>
      <c r="D78" s="541"/>
      <c r="E78" s="209"/>
      <c r="F78" s="209"/>
      <c r="G78" s="1200"/>
      <c r="H78" s="1366"/>
      <c r="I78" s="1366"/>
      <c r="J78" s="1366"/>
      <c r="K78" s="1366"/>
      <c r="L78" s="1366"/>
      <c r="M78" s="1366"/>
      <c r="N78" s="1366"/>
      <c r="O78" s="1366"/>
      <c r="P78" s="1366"/>
      <c r="Q78" s="1366"/>
      <c r="R78" s="1366"/>
      <c r="S78" s="1366"/>
      <c r="T78" s="1366"/>
      <c r="U78" s="1366"/>
      <c r="V78" s="1366"/>
      <c r="W78" s="1366"/>
      <c r="X78" s="1366"/>
      <c r="Y78" s="1366"/>
      <c r="Z78" s="1366"/>
      <c r="AA78" s="1366"/>
    </row>
    <row r="79" spans="2:27" ht="17.25" customHeight="1" outlineLevel="1" x14ac:dyDescent="0.25">
      <c r="B79" s="553" t="s">
        <v>117</v>
      </c>
      <c r="C79" s="569"/>
      <c r="D79" s="569"/>
      <c r="E79" s="570"/>
      <c r="F79" s="570"/>
      <c r="G79" s="1202"/>
      <c r="H79" s="1367" t="e">
        <f>H70+(SUM(H72:H77))</f>
        <v>#VALUE!</v>
      </c>
      <c r="I79" s="1367" t="e">
        <f t="shared" ref="I79:AA79" si="29">I70+(SUM(I72:I77))</f>
        <v>#VALUE!</v>
      </c>
      <c r="J79" s="1367" t="e">
        <f t="shared" si="29"/>
        <v>#VALUE!</v>
      </c>
      <c r="K79" s="1367" t="e">
        <f t="shared" si="29"/>
        <v>#VALUE!</v>
      </c>
      <c r="L79" s="1367" t="e">
        <f t="shared" si="29"/>
        <v>#VALUE!</v>
      </c>
      <c r="M79" s="1367" t="e">
        <f t="shared" si="29"/>
        <v>#VALUE!</v>
      </c>
      <c r="N79" s="1367" t="e">
        <f t="shared" si="29"/>
        <v>#VALUE!</v>
      </c>
      <c r="O79" s="1367" t="e">
        <f t="shared" si="29"/>
        <v>#VALUE!</v>
      </c>
      <c r="P79" s="1367" t="e">
        <f t="shared" si="29"/>
        <v>#VALUE!</v>
      </c>
      <c r="Q79" s="1367" t="e">
        <f t="shared" si="29"/>
        <v>#VALUE!</v>
      </c>
      <c r="R79" s="1367" t="e">
        <f t="shared" si="29"/>
        <v>#VALUE!</v>
      </c>
      <c r="S79" s="1367" t="e">
        <f t="shared" si="29"/>
        <v>#VALUE!</v>
      </c>
      <c r="T79" s="1367" t="e">
        <f t="shared" si="29"/>
        <v>#VALUE!</v>
      </c>
      <c r="U79" s="1367" t="e">
        <f t="shared" si="29"/>
        <v>#VALUE!</v>
      </c>
      <c r="V79" s="1367" t="e">
        <f t="shared" si="29"/>
        <v>#VALUE!</v>
      </c>
      <c r="W79" s="1367" t="e">
        <f t="shared" si="29"/>
        <v>#VALUE!</v>
      </c>
      <c r="X79" s="1367" t="e">
        <f t="shared" si="29"/>
        <v>#VALUE!</v>
      </c>
      <c r="Y79" s="1367" t="e">
        <f t="shared" si="29"/>
        <v>#VALUE!</v>
      </c>
      <c r="Z79" s="1367" t="e">
        <f t="shared" si="29"/>
        <v>#VALUE!</v>
      </c>
      <c r="AA79" s="1367" t="e">
        <f t="shared" si="29"/>
        <v>#VALUE!</v>
      </c>
    </row>
    <row r="80" spans="2:27" ht="6.75" customHeight="1" outlineLevel="1" x14ac:dyDescent="0.25">
      <c r="B80" s="540"/>
      <c r="C80" s="541"/>
      <c r="D80" s="541"/>
      <c r="E80" s="209"/>
      <c r="F80" s="209"/>
      <c r="G80" s="1200"/>
      <c r="H80" s="1366"/>
      <c r="I80" s="1366"/>
      <c r="J80" s="1366"/>
      <c r="K80" s="1366"/>
      <c r="L80" s="1366"/>
      <c r="M80" s="1366"/>
      <c r="N80" s="1366"/>
      <c r="O80" s="1366"/>
      <c r="P80" s="1366"/>
      <c r="Q80" s="1366"/>
      <c r="R80" s="1366"/>
      <c r="S80" s="1366"/>
      <c r="T80" s="1366"/>
      <c r="U80" s="1366"/>
      <c r="V80" s="1366"/>
      <c r="W80" s="1366"/>
      <c r="X80" s="1366"/>
      <c r="Y80" s="1366"/>
      <c r="Z80" s="1366"/>
      <c r="AA80" s="1366"/>
    </row>
    <row r="81" spans="2:27" ht="17.25" customHeight="1" outlineLevel="1" x14ac:dyDescent="0.25">
      <c r="B81" s="540" t="s">
        <v>118</v>
      </c>
      <c r="C81" s="541"/>
      <c r="D81" s="541"/>
      <c r="E81" s="209"/>
      <c r="F81" s="209"/>
      <c r="G81" s="1200"/>
      <c r="H81" s="1366" t="e">
        <f>IF(H79&lt;0,(-H79*'III. Inputs, Renewable Energy'!$U$18),(-'V. LCOE, Ren. En. Generation'!H79*'III. Inputs, Renewable Energy'!$U$18))</f>
        <v>#VALUE!</v>
      </c>
      <c r="I81" s="1366" t="e">
        <f>IF(I79&lt;0,(-I79*'III. Inputs, Renewable Energy'!$U$18),(-'V. LCOE, Ren. En. Generation'!I79*'III. Inputs, Renewable Energy'!$U$18))</f>
        <v>#VALUE!</v>
      </c>
      <c r="J81" s="1366" t="e">
        <f>IF(J79&lt;0,(-J79*'III. Inputs, Renewable Energy'!$U$18),(-'V. LCOE, Ren. En. Generation'!J79*'III. Inputs, Renewable Energy'!$U$18))</f>
        <v>#VALUE!</v>
      </c>
      <c r="K81" s="1366" t="e">
        <f>IF(K79&lt;0,(-K79*'III. Inputs, Renewable Energy'!$U$18),(-'V. LCOE, Ren. En. Generation'!K79*'III. Inputs, Renewable Energy'!$U$18))</f>
        <v>#VALUE!</v>
      </c>
      <c r="L81" s="1366" t="e">
        <f>IF(L79&lt;0,(-L79*'III. Inputs, Renewable Energy'!$U$18),(-'V. LCOE, Ren. En. Generation'!L79*'III. Inputs, Renewable Energy'!$U$18))</f>
        <v>#VALUE!</v>
      </c>
      <c r="M81" s="1366" t="e">
        <f>IF(M79&lt;0,(-M79*'III. Inputs, Renewable Energy'!$U$18),(-'V. LCOE, Ren. En. Generation'!M79*'III. Inputs, Renewable Energy'!$U$18))</f>
        <v>#VALUE!</v>
      </c>
      <c r="N81" s="1366" t="e">
        <f>IF(N79&lt;0,(-N79*'III. Inputs, Renewable Energy'!$U$18),(-'V. LCOE, Ren. En. Generation'!N79*'III. Inputs, Renewable Energy'!$U$18))</f>
        <v>#VALUE!</v>
      </c>
      <c r="O81" s="1366" t="e">
        <f>IF(O79&lt;0,(-O79*'III. Inputs, Renewable Energy'!$U$18),(-'V. LCOE, Ren. En. Generation'!O79*'III. Inputs, Renewable Energy'!$U$18))</f>
        <v>#VALUE!</v>
      </c>
      <c r="P81" s="1366" t="e">
        <f>IF(P79&lt;0,(-P79*'III. Inputs, Renewable Energy'!$U$18),(-'V. LCOE, Ren. En. Generation'!P79*'III. Inputs, Renewable Energy'!$U$18))</f>
        <v>#VALUE!</v>
      </c>
      <c r="Q81" s="1366" t="e">
        <f>IF(Q79&lt;0,(-Q79*'III. Inputs, Renewable Energy'!$U$18),(-'V. LCOE, Ren. En. Generation'!Q79*'III. Inputs, Renewable Energy'!$U$18))</f>
        <v>#VALUE!</v>
      </c>
      <c r="R81" s="1366" t="e">
        <f>IF(R79&lt;0,(-R79*'III. Inputs, Renewable Energy'!$U$18),(-'V. LCOE, Ren. En. Generation'!R79*'III. Inputs, Renewable Energy'!$U$18))</f>
        <v>#VALUE!</v>
      </c>
      <c r="S81" s="1366" t="e">
        <f>IF(S79&lt;0,(-S79*'III. Inputs, Renewable Energy'!$U$18),(-'V. LCOE, Ren. En. Generation'!S79*'III. Inputs, Renewable Energy'!$U$18))</f>
        <v>#VALUE!</v>
      </c>
      <c r="T81" s="1366" t="e">
        <f>IF(T79&lt;0,(-T79*'III. Inputs, Renewable Energy'!$U$18),(-'V. LCOE, Ren. En. Generation'!T79*'III. Inputs, Renewable Energy'!$U$18))</f>
        <v>#VALUE!</v>
      </c>
      <c r="U81" s="1366" t="e">
        <f>IF(U79&lt;0,(-U79*'III. Inputs, Renewable Energy'!$U$18),(-'V. LCOE, Ren. En. Generation'!U79*'III. Inputs, Renewable Energy'!$U$18))</f>
        <v>#VALUE!</v>
      </c>
      <c r="V81" s="1366" t="e">
        <f>IF(V79&lt;0,(-V79*'III. Inputs, Renewable Energy'!$U$18),(-'V. LCOE, Ren. En. Generation'!V79*'III. Inputs, Renewable Energy'!$U$18))</f>
        <v>#VALUE!</v>
      </c>
      <c r="W81" s="1366" t="e">
        <f>IF(W79&lt;0,(-W79*'III. Inputs, Renewable Energy'!$U$18),(-'V. LCOE, Ren. En. Generation'!W79*'III. Inputs, Renewable Energy'!$U$18))</f>
        <v>#VALUE!</v>
      </c>
      <c r="X81" s="1366" t="e">
        <f>IF(X79&lt;0,(-X79*'III. Inputs, Renewable Energy'!$U$18),(-'V. LCOE, Ren. En. Generation'!X79*'III. Inputs, Renewable Energy'!$U$18))</f>
        <v>#VALUE!</v>
      </c>
      <c r="Y81" s="1366" t="e">
        <f>IF(Y79&lt;0,(-Y79*'III. Inputs, Renewable Energy'!$U$18),(-'V. LCOE, Ren. En. Generation'!Y79*'III. Inputs, Renewable Energy'!$U$18))</f>
        <v>#VALUE!</v>
      </c>
      <c r="Z81" s="1366" t="e">
        <f>IF(Z79&lt;0,(-Z79*'III. Inputs, Renewable Energy'!$U$18),(-'V. LCOE, Ren. En. Generation'!Z79*'III. Inputs, Renewable Energy'!$U$18))</f>
        <v>#VALUE!</v>
      </c>
      <c r="AA81" s="1366" t="e">
        <f>IF(AA79&lt;0,(-AA79*'III. Inputs, Renewable Energy'!$U$18),(-'V. LCOE, Ren. En. Generation'!AA79*'III. Inputs, Renewable Energy'!$U$18))</f>
        <v>#VALUE!</v>
      </c>
    </row>
    <row r="82" spans="2:27" ht="6.75" customHeight="1" outlineLevel="1" x14ac:dyDescent="0.25">
      <c r="B82" s="554"/>
      <c r="C82" s="551"/>
      <c r="D82" s="551"/>
      <c r="E82" s="184"/>
      <c r="F82" s="184"/>
      <c r="G82" s="1203"/>
      <c r="H82" s="1368"/>
      <c r="I82" s="1368"/>
      <c r="J82" s="1368"/>
      <c r="K82" s="1368"/>
      <c r="L82" s="1368"/>
      <c r="M82" s="1368"/>
      <c r="N82" s="1368"/>
      <c r="O82" s="1368"/>
      <c r="P82" s="1368"/>
      <c r="Q82" s="1368"/>
      <c r="R82" s="1368"/>
      <c r="S82" s="1368"/>
      <c r="T82" s="1368"/>
      <c r="U82" s="1368"/>
      <c r="V82" s="1368"/>
      <c r="W82" s="1368"/>
      <c r="X82" s="1368"/>
      <c r="Y82" s="1368"/>
      <c r="Z82" s="1368"/>
      <c r="AA82" s="1368"/>
    </row>
    <row r="83" spans="2:27" ht="17.25" customHeight="1" outlineLevel="1" x14ac:dyDescent="0.25">
      <c r="B83" s="553" t="s">
        <v>119</v>
      </c>
      <c r="C83" s="569"/>
      <c r="D83" s="569"/>
      <c r="E83" s="570"/>
      <c r="F83" s="570"/>
      <c r="G83" s="1202"/>
      <c r="H83" s="1367" t="e">
        <f>H79+H81</f>
        <v>#VALUE!</v>
      </c>
      <c r="I83" s="1367" t="e">
        <f t="shared" ref="I83:AA83" si="30">I79+I81</f>
        <v>#VALUE!</v>
      </c>
      <c r="J83" s="1367" t="e">
        <f t="shared" si="30"/>
        <v>#VALUE!</v>
      </c>
      <c r="K83" s="1367" t="e">
        <f t="shared" si="30"/>
        <v>#VALUE!</v>
      </c>
      <c r="L83" s="1367" t="e">
        <f t="shared" si="30"/>
        <v>#VALUE!</v>
      </c>
      <c r="M83" s="1367" t="e">
        <f t="shared" si="30"/>
        <v>#VALUE!</v>
      </c>
      <c r="N83" s="1367" t="e">
        <f t="shared" si="30"/>
        <v>#VALUE!</v>
      </c>
      <c r="O83" s="1367" t="e">
        <f t="shared" si="30"/>
        <v>#VALUE!</v>
      </c>
      <c r="P83" s="1367" t="e">
        <f t="shared" si="30"/>
        <v>#VALUE!</v>
      </c>
      <c r="Q83" s="1367" t="e">
        <f t="shared" si="30"/>
        <v>#VALUE!</v>
      </c>
      <c r="R83" s="1367" t="e">
        <f t="shared" si="30"/>
        <v>#VALUE!</v>
      </c>
      <c r="S83" s="1367" t="e">
        <f t="shared" si="30"/>
        <v>#VALUE!</v>
      </c>
      <c r="T83" s="1367" t="e">
        <f t="shared" si="30"/>
        <v>#VALUE!</v>
      </c>
      <c r="U83" s="1367" t="e">
        <f t="shared" si="30"/>
        <v>#VALUE!</v>
      </c>
      <c r="V83" s="1367" t="e">
        <f t="shared" si="30"/>
        <v>#VALUE!</v>
      </c>
      <c r="W83" s="1367" t="e">
        <f t="shared" si="30"/>
        <v>#VALUE!</v>
      </c>
      <c r="X83" s="1367" t="e">
        <f t="shared" si="30"/>
        <v>#VALUE!</v>
      </c>
      <c r="Y83" s="1367" t="e">
        <f t="shared" si="30"/>
        <v>#VALUE!</v>
      </c>
      <c r="Z83" s="1367" t="e">
        <f t="shared" si="30"/>
        <v>#VALUE!</v>
      </c>
      <c r="AA83" s="1367" t="e">
        <f t="shared" si="30"/>
        <v>#VALUE!</v>
      </c>
    </row>
    <row r="84" spans="2:27" ht="17.25" customHeight="1" outlineLevel="1" x14ac:dyDescent="0.25">
      <c r="B84" s="540"/>
      <c r="C84" s="541"/>
      <c r="D84" s="541"/>
      <c r="E84" s="209"/>
      <c r="F84" s="209"/>
      <c r="G84" s="1200"/>
      <c r="H84" s="1201"/>
      <c r="I84" s="1201"/>
      <c r="J84" s="1201"/>
      <c r="K84" s="1201"/>
      <c r="L84" s="1201"/>
      <c r="M84" s="1201"/>
      <c r="N84" s="1201"/>
      <c r="O84" s="1201"/>
      <c r="P84" s="1201"/>
      <c r="Q84" s="1201"/>
      <c r="R84" s="1201"/>
      <c r="S84" s="1201"/>
      <c r="T84" s="1201"/>
      <c r="U84" s="1201"/>
      <c r="V84" s="1201"/>
      <c r="W84" s="1201"/>
      <c r="X84" s="1201"/>
      <c r="Y84" s="1201"/>
      <c r="Z84" s="1201"/>
      <c r="AA84" s="1201"/>
    </row>
    <row r="85" spans="2:27" ht="17.25" customHeight="1" outlineLevel="1" x14ac:dyDescent="0.25">
      <c r="B85" s="540" t="s">
        <v>120</v>
      </c>
      <c r="C85" s="541"/>
      <c r="D85" s="541"/>
      <c r="E85" s="209"/>
      <c r="F85" s="209" t="s">
        <v>22</v>
      </c>
      <c r="G85" s="1357">
        <f>-('III. Inputs, Renewable Energy'!$U$14*'III. Inputs, Renewable Energy'!$U$15)</f>
        <v>0</v>
      </c>
      <c r="H85" s="1201"/>
      <c r="I85" s="1201"/>
      <c r="J85" s="1201"/>
      <c r="K85" s="1201"/>
      <c r="L85" s="1201"/>
      <c r="M85" s="1201"/>
      <c r="N85" s="1201"/>
      <c r="O85" s="1201"/>
      <c r="P85" s="1201"/>
      <c r="Q85" s="1201"/>
      <c r="R85" s="1201"/>
      <c r="S85" s="1201"/>
      <c r="T85" s="1201"/>
      <c r="U85" s="1201"/>
      <c r="V85" s="1201"/>
      <c r="W85" s="1201"/>
      <c r="X85" s="1201"/>
      <c r="Y85" s="1201"/>
      <c r="Z85" s="1201"/>
      <c r="AA85" s="1201"/>
    </row>
    <row r="86" spans="2:27" ht="17.25" customHeight="1" outlineLevel="1" x14ac:dyDescent="0.25">
      <c r="B86" s="554" t="s">
        <v>121</v>
      </c>
      <c r="C86" s="551"/>
      <c r="D86" s="551"/>
      <c r="E86" s="184"/>
      <c r="F86" s="184" t="s">
        <v>22</v>
      </c>
      <c r="G86" s="1361">
        <f>('III. Inputs, Renewable Energy'!U14*'III. Inputs, Renewable Energy'!$U$15*'III. Inputs, Renewable Energy'!$S$29)</f>
        <v>0</v>
      </c>
      <c r="H86" s="1204"/>
      <c r="I86" s="1204"/>
      <c r="J86" s="1204"/>
      <c r="K86" s="1204"/>
      <c r="L86" s="1204"/>
      <c r="M86" s="1204"/>
      <c r="N86" s="1204"/>
      <c r="O86" s="1204"/>
      <c r="P86" s="1204"/>
      <c r="Q86" s="1204"/>
      <c r="R86" s="1204"/>
      <c r="S86" s="1204"/>
      <c r="T86" s="1204"/>
      <c r="U86" s="1204"/>
      <c r="V86" s="1204"/>
      <c r="W86" s="1204"/>
      <c r="X86" s="1204"/>
      <c r="Y86" s="1204"/>
      <c r="Z86" s="1204"/>
      <c r="AA86" s="1204"/>
    </row>
    <row r="87" spans="2:27" ht="17.25" customHeight="1" outlineLevel="1" x14ac:dyDescent="0.25">
      <c r="B87" s="540" t="s">
        <v>122</v>
      </c>
      <c r="C87" s="541"/>
      <c r="D87" s="541"/>
      <c r="E87" s="209"/>
      <c r="F87" s="209" t="s">
        <v>22</v>
      </c>
      <c r="G87" s="1357">
        <f>G85+G86</f>
        <v>0</v>
      </c>
      <c r="H87" s="1193"/>
      <c r="I87" s="1193"/>
      <c r="J87" s="1193"/>
      <c r="K87" s="1193"/>
      <c r="L87" s="1193"/>
      <c r="M87" s="1193"/>
      <c r="N87" s="1193"/>
      <c r="O87" s="1193"/>
      <c r="P87" s="1193"/>
      <c r="Q87" s="1193"/>
      <c r="R87" s="1193"/>
      <c r="S87" s="1193"/>
      <c r="T87" s="1193"/>
      <c r="U87" s="1193"/>
      <c r="V87" s="1193"/>
      <c r="W87" s="1193"/>
      <c r="X87" s="1193"/>
      <c r="Y87" s="1193"/>
      <c r="Z87" s="1193"/>
      <c r="AA87" s="1193"/>
    </row>
    <row r="88" spans="2:27" ht="10.5" customHeight="1" outlineLevel="1" x14ac:dyDescent="0.25">
      <c r="B88" s="540"/>
      <c r="C88" s="541"/>
      <c r="D88" s="541"/>
      <c r="E88" s="209"/>
      <c r="F88" s="209"/>
      <c r="G88" s="1193"/>
      <c r="H88" s="1193"/>
      <c r="I88" s="1193"/>
      <c r="J88" s="1193"/>
      <c r="K88" s="1193"/>
      <c r="L88" s="1193"/>
      <c r="M88" s="1193"/>
      <c r="N88" s="1193"/>
      <c r="O88" s="1193"/>
      <c r="P88" s="1193"/>
      <c r="Q88" s="1193"/>
      <c r="R88" s="1193"/>
      <c r="S88" s="1193"/>
      <c r="T88" s="1193"/>
      <c r="U88" s="1193"/>
      <c r="V88" s="1193"/>
      <c r="W88" s="1193"/>
      <c r="X88" s="1193"/>
      <c r="Y88" s="1193"/>
      <c r="Z88" s="1193"/>
      <c r="AA88" s="1193"/>
    </row>
    <row r="89" spans="2:27" ht="6.75" customHeight="1" outlineLevel="1" x14ac:dyDescent="0.25">
      <c r="B89" s="540"/>
      <c r="C89" s="541"/>
      <c r="D89" s="541"/>
      <c r="E89" s="209"/>
      <c r="F89" s="209"/>
      <c r="G89" s="1193"/>
      <c r="H89" s="1193"/>
      <c r="I89" s="1193"/>
      <c r="J89" s="1193"/>
      <c r="K89" s="1193"/>
      <c r="L89" s="1193"/>
      <c r="M89" s="1193"/>
      <c r="N89" s="1193"/>
      <c r="O89" s="1193"/>
      <c r="P89" s="1193"/>
      <c r="Q89" s="1193"/>
      <c r="R89" s="1193"/>
      <c r="S89" s="1193"/>
      <c r="T89" s="1193"/>
      <c r="U89" s="1193"/>
      <c r="V89" s="1193"/>
      <c r="W89" s="1193"/>
      <c r="X89" s="1193"/>
      <c r="Y89" s="1193"/>
      <c r="Z89" s="1193"/>
      <c r="AA89" s="1193"/>
    </row>
    <row r="90" spans="2:27" ht="17.25" customHeight="1" outlineLevel="1" x14ac:dyDescent="0.25">
      <c r="B90" s="540" t="s">
        <v>123</v>
      </c>
      <c r="C90" s="541"/>
      <c r="D90" s="541"/>
      <c r="E90" s="209"/>
      <c r="F90" s="209"/>
      <c r="G90" s="1357"/>
      <c r="H90" s="1357" t="e">
        <f>H83</f>
        <v>#VALUE!</v>
      </c>
      <c r="I90" s="1357" t="e">
        <f t="shared" ref="I90:AA90" si="31">I83</f>
        <v>#VALUE!</v>
      </c>
      <c r="J90" s="1357" t="e">
        <f t="shared" si="31"/>
        <v>#VALUE!</v>
      </c>
      <c r="K90" s="1357" t="e">
        <f t="shared" si="31"/>
        <v>#VALUE!</v>
      </c>
      <c r="L90" s="1357" t="e">
        <f t="shared" si="31"/>
        <v>#VALUE!</v>
      </c>
      <c r="M90" s="1357" t="e">
        <f t="shared" si="31"/>
        <v>#VALUE!</v>
      </c>
      <c r="N90" s="1357" t="e">
        <f t="shared" si="31"/>
        <v>#VALUE!</v>
      </c>
      <c r="O90" s="1357" t="e">
        <f t="shared" si="31"/>
        <v>#VALUE!</v>
      </c>
      <c r="P90" s="1357" t="e">
        <f t="shared" si="31"/>
        <v>#VALUE!</v>
      </c>
      <c r="Q90" s="1357" t="e">
        <f t="shared" si="31"/>
        <v>#VALUE!</v>
      </c>
      <c r="R90" s="1357" t="e">
        <f t="shared" si="31"/>
        <v>#VALUE!</v>
      </c>
      <c r="S90" s="1357" t="e">
        <f t="shared" si="31"/>
        <v>#VALUE!</v>
      </c>
      <c r="T90" s="1357" t="e">
        <f t="shared" si="31"/>
        <v>#VALUE!</v>
      </c>
      <c r="U90" s="1357" t="e">
        <f t="shared" si="31"/>
        <v>#VALUE!</v>
      </c>
      <c r="V90" s="1357" t="e">
        <f t="shared" si="31"/>
        <v>#VALUE!</v>
      </c>
      <c r="W90" s="1357" t="e">
        <f t="shared" si="31"/>
        <v>#VALUE!</v>
      </c>
      <c r="X90" s="1357" t="e">
        <f t="shared" si="31"/>
        <v>#VALUE!</v>
      </c>
      <c r="Y90" s="1357" t="e">
        <f t="shared" si="31"/>
        <v>#VALUE!</v>
      </c>
      <c r="Z90" s="1357" t="e">
        <f t="shared" si="31"/>
        <v>#VALUE!</v>
      </c>
      <c r="AA90" s="1357" t="e">
        <f t="shared" si="31"/>
        <v>#VALUE!</v>
      </c>
    </row>
    <row r="91" spans="2:27" ht="17.25" customHeight="1" outlineLevel="1" x14ac:dyDescent="0.25">
      <c r="B91" s="540" t="s">
        <v>124</v>
      </c>
      <c r="C91" s="541"/>
      <c r="D91" s="541"/>
      <c r="E91" s="209"/>
      <c r="F91" s="209" t="s">
        <v>22</v>
      </c>
      <c r="G91" s="1357"/>
      <c r="H91" s="1357" t="e">
        <f t="shared" ref="H91:AA91" si="32">-H68</f>
        <v>#VALUE!</v>
      </c>
      <c r="I91" s="1357" t="e">
        <f t="shared" si="32"/>
        <v>#VALUE!</v>
      </c>
      <c r="J91" s="1357" t="e">
        <f t="shared" si="32"/>
        <v>#VALUE!</v>
      </c>
      <c r="K91" s="1357" t="e">
        <f t="shared" si="32"/>
        <v>#VALUE!</v>
      </c>
      <c r="L91" s="1357" t="e">
        <f t="shared" si="32"/>
        <v>#VALUE!</v>
      </c>
      <c r="M91" s="1357" t="e">
        <f t="shared" si="32"/>
        <v>#VALUE!</v>
      </c>
      <c r="N91" s="1357" t="e">
        <f t="shared" si="32"/>
        <v>#VALUE!</v>
      </c>
      <c r="O91" s="1357" t="e">
        <f t="shared" si="32"/>
        <v>#VALUE!</v>
      </c>
      <c r="P91" s="1357" t="e">
        <f t="shared" si="32"/>
        <v>#VALUE!</v>
      </c>
      <c r="Q91" s="1357" t="e">
        <f t="shared" si="32"/>
        <v>#VALUE!</v>
      </c>
      <c r="R91" s="1357" t="e">
        <f t="shared" si="32"/>
        <v>#VALUE!</v>
      </c>
      <c r="S91" s="1357" t="e">
        <f t="shared" si="32"/>
        <v>#VALUE!</v>
      </c>
      <c r="T91" s="1357" t="e">
        <f t="shared" si="32"/>
        <v>#VALUE!</v>
      </c>
      <c r="U91" s="1357" t="e">
        <f t="shared" si="32"/>
        <v>#VALUE!</v>
      </c>
      <c r="V91" s="1357" t="e">
        <f t="shared" si="32"/>
        <v>#VALUE!</v>
      </c>
      <c r="W91" s="1357" t="e">
        <f t="shared" si="32"/>
        <v>#VALUE!</v>
      </c>
      <c r="X91" s="1357" t="e">
        <f t="shared" si="32"/>
        <v>#VALUE!</v>
      </c>
      <c r="Y91" s="1357" t="e">
        <f t="shared" si="32"/>
        <v>#VALUE!</v>
      </c>
      <c r="Z91" s="1357" t="e">
        <f t="shared" si="32"/>
        <v>#VALUE!</v>
      </c>
      <c r="AA91" s="1357" t="e">
        <f t="shared" si="32"/>
        <v>#VALUE!</v>
      </c>
    </row>
    <row r="92" spans="2:27" ht="17.25" customHeight="1" outlineLevel="1" x14ac:dyDescent="0.25">
      <c r="B92" s="540"/>
      <c r="C92" s="541"/>
      <c r="D92" s="541"/>
      <c r="E92" s="209"/>
      <c r="F92" s="209"/>
      <c r="G92" s="1357"/>
      <c r="H92" s="1357"/>
      <c r="I92" s="1357"/>
      <c r="J92" s="1357"/>
      <c r="K92" s="1357"/>
      <c r="L92" s="1357"/>
      <c r="M92" s="1357"/>
      <c r="N92" s="1357"/>
      <c r="O92" s="1357"/>
      <c r="P92" s="1357"/>
      <c r="Q92" s="1357"/>
      <c r="R92" s="1357"/>
      <c r="S92" s="1357"/>
      <c r="T92" s="1357"/>
      <c r="U92" s="1357"/>
      <c r="V92" s="1357"/>
      <c r="W92" s="1357"/>
      <c r="X92" s="1357"/>
      <c r="Y92" s="1357"/>
      <c r="Z92" s="1357"/>
      <c r="AA92" s="1357"/>
    </row>
    <row r="93" spans="2:27" ht="17.25" customHeight="1" outlineLevel="1" x14ac:dyDescent="0.25">
      <c r="B93" s="540" t="s">
        <v>125</v>
      </c>
      <c r="C93" s="541"/>
      <c r="D93" s="541"/>
      <c r="E93" s="209"/>
      <c r="F93" s="209" t="s">
        <v>22</v>
      </c>
      <c r="G93" s="1357"/>
      <c r="H93" s="1357"/>
      <c r="I93" s="1357"/>
      <c r="J93" s="1357"/>
      <c r="K93" s="1357"/>
      <c r="L93" s="1357"/>
      <c r="M93" s="1357"/>
      <c r="N93" s="1357"/>
      <c r="O93" s="1357"/>
      <c r="P93" s="1357"/>
      <c r="Q93" s="1357"/>
      <c r="R93" s="1357"/>
      <c r="S93" s="1357"/>
      <c r="T93" s="1357"/>
      <c r="U93" s="1357"/>
      <c r="V93" s="1357"/>
      <c r="W93" s="1357"/>
      <c r="X93" s="1357"/>
      <c r="Y93" s="1357"/>
      <c r="Z93" s="1357"/>
      <c r="AA93" s="1357"/>
    </row>
    <row r="94" spans="2:27" ht="17.25" customHeight="1" outlineLevel="1" x14ac:dyDescent="0.25">
      <c r="B94" s="540" t="s">
        <v>126</v>
      </c>
      <c r="C94" s="541"/>
      <c r="D94" s="541"/>
      <c r="E94" s="209"/>
      <c r="F94" s="209" t="s">
        <v>22</v>
      </c>
      <c r="G94" s="1357"/>
      <c r="H94" s="1357"/>
      <c r="I94" s="1357"/>
      <c r="J94" s="1357"/>
      <c r="K94" s="1357"/>
      <c r="L94" s="1357"/>
      <c r="M94" s="1357"/>
      <c r="N94" s="1357"/>
      <c r="O94" s="1357"/>
      <c r="P94" s="1357"/>
      <c r="Q94" s="1357"/>
      <c r="R94" s="1357"/>
      <c r="S94" s="1357"/>
      <c r="T94" s="1357"/>
      <c r="U94" s="1357"/>
      <c r="V94" s="1357"/>
      <c r="W94" s="1357"/>
      <c r="X94" s="1357"/>
      <c r="Y94" s="1357"/>
      <c r="Z94" s="1357"/>
      <c r="AA94" s="1357"/>
    </row>
    <row r="95" spans="2:27" ht="17.25" customHeight="1" outlineLevel="1" x14ac:dyDescent="0.25">
      <c r="B95" s="540" t="s">
        <v>127</v>
      </c>
      <c r="C95" s="541"/>
      <c r="D95" s="541"/>
      <c r="E95" s="209"/>
      <c r="F95" s="209" t="s">
        <v>22</v>
      </c>
      <c r="G95" s="1357"/>
      <c r="H95" s="1357">
        <f>-(H207+H228+H249)</f>
        <v>0</v>
      </c>
      <c r="I95" s="1357">
        <f t="shared" ref="I95:AA95" si="33">-(I207+I228+I249)</f>
        <v>0</v>
      </c>
      <c r="J95" s="1357">
        <f t="shared" si="33"/>
        <v>0</v>
      </c>
      <c r="K95" s="1357">
        <f t="shared" si="33"/>
        <v>0</v>
      </c>
      <c r="L95" s="1357">
        <f t="shared" si="33"/>
        <v>0</v>
      </c>
      <c r="M95" s="1357">
        <f t="shared" si="33"/>
        <v>0</v>
      </c>
      <c r="N95" s="1357">
        <f t="shared" si="33"/>
        <v>0</v>
      </c>
      <c r="O95" s="1357">
        <f t="shared" si="33"/>
        <v>0</v>
      </c>
      <c r="P95" s="1357">
        <f t="shared" si="33"/>
        <v>0</v>
      </c>
      <c r="Q95" s="1357">
        <f t="shared" si="33"/>
        <v>0</v>
      </c>
      <c r="R95" s="1357">
        <f t="shared" si="33"/>
        <v>0</v>
      </c>
      <c r="S95" s="1357">
        <f t="shared" si="33"/>
        <v>0</v>
      </c>
      <c r="T95" s="1357">
        <f t="shared" si="33"/>
        <v>0</v>
      </c>
      <c r="U95" s="1357">
        <f t="shared" si="33"/>
        <v>0</v>
      </c>
      <c r="V95" s="1357">
        <f t="shared" si="33"/>
        <v>0</v>
      </c>
      <c r="W95" s="1357">
        <f t="shared" si="33"/>
        <v>0</v>
      </c>
      <c r="X95" s="1357">
        <f t="shared" si="33"/>
        <v>0</v>
      </c>
      <c r="Y95" s="1357">
        <f t="shared" si="33"/>
        <v>0</v>
      </c>
      <c r="Z95" s="1357">
        <f t="shared" si="33"/>
        <v>0</v>
      </c>
      <c r="AA95" s="1357">
        <f t="shared" si="33"/>
        <v>0</v>
      </c>
    </row>
    <row r="96" spans="2:27" ht="17.25" customHeight="1" outlineLevel="1" x14ac:dyDescent="0.25">
      <c r="B96" s="554" t="s">
        <v>128</v>
      </c>
      <c r="C96" s="551"/>
      <c r="D96" s="551"/>
      <c r="E96" s="184"/>
      <c r="F96" s="184" t="s">
        <v>22</v>
      </c>
      <c r="G96" s="1361"/>
      <c r="H96" s="1361"/>
      <c r="I96" s="1361"/>
      <c r="J96" s="1361"/>
      <c r="K96" s="1361"/>
      <c r="L96" s="1361"/>
      <c r="M96" s="1361"/>
      <c r="N96" s="1361"/>
      <c r="O96" s="1361"/>
      <c r="P96" s="1361"/>
      <c r="Q96" s="1361"/>
      <c r="R96" s="1361"/>
      <c r="S96" s="1361"/>
      <c r="T96" s="1361"/>
      <c r="U96" s="1361"/>
      <c r="V96" s="1361"/>
      <c r="W96" s="1361"/>
      <c r="X96" s="1361"/>
      <c r="Y96" s="1361"/>
      <c r="Z96" s="1361"/>
      <c r="AA96" s="1361"/>
    </row>
    <row r="97" spans="1:27" ht="17.25" customHeight="1" outlineLevel="1" x14ac:dyDescent="0.25">
      <c r="B97" s="540" t="s">
        <v>129</v>
      </c>
      <c r="C97" s="541"/>
      <c r="D97" s="541"/>
      <c r="E97" s="209"/>
      <c r="F97" s="209" t="s">
        <v>22</v>
      </c>
      <c r="G97" s="1357">
        <f>G87</f>
        <v>0</v>
      </c>
      <c r="H97" s="1357" t="e">
        <f>H90+H91+H95</f>
        <v>#VALUE!</v>
      </c>
      <c r="I97" s="1357" t="e">
        <f t="shared" ref="I97:AA97" si="34">I90+I91+I95</f>
        <v>#VALUE!</v>
      </c>
      <c r="J97" s="1357" t="e">
        <f t="shared" si="34"/>
        <v>#VALUE!</v>
      </c>
      <c r="K97" s="1357" t="e">
        <f t="shared" si="34"/>
        <v>#VALUE!</v>
      </c>
      <c r="L97" s="1357" t="e">
        <f t="shared" si="34"/>
        <v>#VALUE!</v>
      </c>
      <c r="M97" s="1357" t="e">
        <f t="shared" si="34"/>
        <v>#VALUE!</v>
      </c>
      <c r="N97" s="1357" t="e">
        <f t="shared" si="34"/>
        <v>#VALUE!</v>
      </c>
      <c r="O97" s="1357" t="e">
        <f t="shared" si="34"/>
        <v>#VALUE!</v>
      </c>
      <c r="P97" s="1357" t="e">
        <f t="shared" si="34"/>
        <v>#VALUE!</v>
      </c>
      <c r="Q97" s="1357" t="e">
        <f t="shared" si="34"/>
        <v>#VALUE!</v>
      </c>
      <c r="R97" s="1357" t="e">
        <f t="shared" si="34"/>
        <v>#VALUE!</v>
      </c>
      <c r="S97" s="1357" t="e">
        <f t="shared" si="34"/>
        <v>#VALUE!</v>
      </c>
      <c r="T97" s="1357" t="e">
        <f t="shared" si="34"/>
        <v>#VALUE!</v>
      </c>
      <c r="U97" s="1357" t="e">
        <f t="shared" si="34"/>
        <v>#VALUE!</v>
      </c>
      <c r="V97" s="1357" t="e">
        <f t="shared" si="34"/>
        <v>#VALUE!</v>
      </c>
      <c r="W97" s="1357" t="e">
        <f t="shared" si="34"/>
        <v>#VALUE!</v>
      </c>
      <c r="X97" s="1357" t="e">
        <f t="shared" si="34"/>
        <v>#VALUE!</v>
      </c>
      <c r="Y97" s="1357" t="e">
        <f t="shared" si="34"/>
        <v>#VALUE!</v>
      </c>
      <c r="Z97" s="1357" t="e">
        <f t="shared" si="34"/>
        <v>#VALUE!</v>
      </c>
      <c r="AA97" s="1357" t="e">
        <f t="shared" si="34"/>
        <v>#VALUE!</v>
      </c>
    </row>
    <row r="98" spans="1:27" ht="7.5" customHeight="1" outlineLevel="1" x14ac:dyDescent="0.25">
      <c r="B98" s="540"/>
      <c r="C98" s="541"/>
      <c r="D98" s="541"/>
      <c r="E98" s="209"/>
      <c r="F98" s="209"/>
      <c r="G98" s="541"/>
      <c r="H98" s="541"/>
      <c r="I98" s="541"/>
      <c r="J98" s="541"/>
      <c r="K98" s="541"/>
      <c r="L98" s="541"/>
      <c r="M98" s="541"/>
      <c r="N98" s="541"/>
      <c r="O98" s="541"/>
      <c r="P98" s="541"/>
      <c r="Q98" s="541"/>
      <c r="R98" s="541"/>
      <c r="S98" s="541"/>
      <c r="T98" s="541"/>
      <c r="U98" s="541"/>
      <c r="V98" s="541"/>
      <c r="W98" s="541"/>
      <c r="X98" s="541"/>
      <c r="Y98" s="541"/>
      <c r="Z98" s="541"/>
      <c r="AA98" s="541"/>
    </row>
    <row r="99" spans="1:27" ht="17.25" customHeight="1" outlineLevel="1" x14ac:dyDescent="0.25">
      <c r="B99" s="540" t="s">
        <v>130</v>
      </c>
      <c r="C99" s="541"/>
      <c r="D99" s="541"/>
      <c r="E99" s="541"/>
      <c r="F99" s="541"/>
      <c r="G99" s="1357" t="e">
        <f>NPV($G$46,G97:AA97)</f>
        <v>#VALUE!</v>
      </c>
      <c r="H99" s="541"/>
      <c r="I99" s="541"/>
      <c r="J99" s="541"/>
      <c r="K99" s="541"/>
      <c r="L99" s="541"/>
      <c r="M99" s="541"/>
      <c r="N99" s="541"/>
      <c r="O99" s="541"/>
      <c r="P99" s="541"/>
      <c r="Q99" s="541"/>
      <c r="R99" s="541"/>
      <c r="S99" s="541"/>
      <c r="T99" s="541"/>
      <c r="U99" s="541"/>
      <c r="V99" s="541"/>
      <c r="W99" s="541"/>
      <c r="X99" s="541"/>
      <c r="Y99" s="541"/>
      <c r="Z99" s="541"/>
      <c r="AA99" s="541"/>
    </row>
    <row r="100" spans="1:27" ht="17.25" customHeight="1" outlineLevel="1" thickBot="1" x14ac:dyDescent="0.3">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25"/>
    <row r="102" spans="1:27" s="8" customFormat="1" ht="12.75" customHeight="1" x14ac:dyDescent="0.25">
      <c r="A102" s="44" t="s">
        <v>483</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2" t="s">
        <v>484</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2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x14ac:dyDescent="0.25">
      <c r="B106" s="577" t="s">
        <v>58</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8">
        <v>20</v>
      </c>
    </row>
    <row r="107" spans="1:27" x14ac:dyDescent="0.2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25">
      <c r="B108" s="575" t="s">
        <v>13</v>
      </c>
      <c r="C108" s="38"/>
      <c r="D108" s="38"/>
      <c r="E108" s="210"/>
      <c r="F108" s="38"/>
      <c r="G108" s="38"/>
      <c r="H108" s="580">
        <f>IF(H$16&gt;'III. Inputs, Renewable Energy'!$U$17,0, 'III. Inputs, Renewable Energy'!$U$217)</f>
        <v>1</v>
      </c>
      <c r="I108" s="580">
        <f>IF(I$16&gt;'III. Inputs, Renewable Energy'!$U$17,0, 'III. Inputs, Renewable Energy'!$U$217)</f>
        <v>1</v>
      </c>
      <c r="J108" s="580">
        <f>IF(J$16&gt;'III. Inputs, Renewable Energy'!$U$17,0, 'III. Inputs, Renewable Energy'!$U$217)</f>
        <v>1</v>
      </c>
      <c r="K108" s="580">
        <f>IF(K$16&gt;'III. Inputs, Renewable Energy'!$U$17,0, 'III. Inputs, Renewable Energy'!$U$217)</f>
        <v>1</v>
      </c>
      <c r="L108" s="580">
        <f>IF(L$16&gt;'III. Inputs, Renewable Energy'!$U$17,0, 'III. Inputs, Renewable Energy'!$U$217)</f>
        <v>1</v>
      </c>
      <c r="M108" s="580">
        <f>IF(M$16&gt;'III. Inputs, Renewable Energy'!$U$17,0, 'III. Inputs, Renewable Energy'!$U$217)</f>
        <v>1</v>
      </c>
      <c r="N108" s="580">
        <f>IF(N$16&gt;'III. Inputs, Renewable Energy'!$U$17,0, 'III. Inputs, Renewable Energy'!$U$217)</f>
        <v>1</v>
      </c>
      <c r="O108" s="580">
        <f>IF(O$16&gt;'III. Inputs, Renewable Energy'!$U$17,0, 'III. Inputs, Renewable Energy'!$U$217)</f>
        <v>1</v>
      </c>
      <c r="P108" s="580">
        <f>IF(P$16&gt;'III. Inputs, Renewable Energy'!$U$17,0, 'III. Inputs, Renewable Energy'!$U$217)</f>
        <v>1</v>
      </c>
      <c r="Q108" s="580">
        <f>IF(Q$16&gt;'III. Inputs, Renewable Energy'!$U$17,0, 'III. Inputs, Renewable Energy'!$U$217)</f>
        <v>1</v>
      </c>
      <c r="R108" s="580">
        <f>IF(R$16&gt;'III. Inputs, Renewable Energy'!$U$17,0, 'III. Inputs, Renewable Energy'!$U$217)</f>
        <v>1</v>
      </c>
      <c r="S108" s="580">
        <f>IF(S$16&gt;'III. Inputs, Renewable Energy'!$U$17,0, 'III. Inputs, Renewable Energy'!$U$217)</f>
        <v>1</v>
      </c>
      <c r="T108" s="580">
        <f>IF(T$16&gt;'III. Inputs, Renewable Energy'!$U$17,0, 'III. Inputs, Renewable Energy'!$U$217)</f>
        <v>1</v>
      </c>
      <c r="U108" s="580">
        <f>IF(U$16&gt;'III. Inputs, Renewable Energy'!$U$17,0, 'III. Inputs, Renewable Energy'!$U$217)</f>
        <v>1</v>
      </c>
      <c r="V108" s="580">
        <f>IF(V$16&gt;'III. Inputs, Renewable Energy'!$U$17,0, 'III. Inputs, Renewable Energy'!$U$217)</f>
        <v>1</v>
      </c>
      <c r="W108" s="580">
        <f>IF(W$16&gt;'III. Inputs, Renewable Energy'!$U$17,0, 'III. Inputs, Renewable Energy'!$U$217)</f>
        <v>1</v>
      </c>
      <c r="X108" s="580">
        <f>IF(X$16&gt;'III. Inputs, Renewable Energy'!$U$17,0, 'III. Inputs, Renewable Energy'!$U$217)</f>
        <v>1</v>
      </c>
      <c r="Y108" s="580">
        <f>IF(Y$16&gt;'III. Inputs, Renewable Energy'!$U$17,0, 'III. Inputs, Renewable Energy'!$U$217)</f>
        <v>1</v>
      </c>
      <c r="Z108" s="580">
        <f>IF(Z$16&gt;'III. Inputs, Renewable Energy'!$U$17,0, 'III. Inputs, Renewable Energy'!$U$217)</f>
        <v>1</v>
      </c>
      <c r="AA108" s="648">
        <f>IF(AA$16&gt;'III. Inputs, Renewable Energy'!$U$17,0, 'III. Inputs, Renewable Energy'!$U$217)</f>
        <v>1</v>
      </c>
    </row>
    <row r="109" spans="1:27" ht="4.5" customHeight="1" x14ac:dyDescent="0.2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25">
      <c r="B110" s="575" t="s">
        <v>97</v>
      </c>
      <c r="C110" s="38"/>
      <c r="D110" s="38"/>
      <c r="E110" s="38"/>
      <c r="F110" s="210" t="s">
        <v>98</v>
      </c>
      <c r="G110" s="38"/>
      <c r="H110" s="581">
        <f>IF(H$16&gt;'III. Inputs, Renewable Energy'!$U$17,0, 'III. Inputs, Renewable Energy'!$U$14*'III. Inputs, Renewable Energy'!$U$215*'V. LCOE, Ren. En. Generation'!$H$108)</f>
        <v>0</v>
      </c>
      <c r="I110" s="581">
        <f>IF(I$16&gt;'III. Inputs, Renewable Energy'!$U$17,0, 'III. Inputs, Renewable Energy'!$U$14*'III. Inputs, Renewable Energy'!$U$215*'V. LCOE, Ren. En. Generation'!$H$108)</f>
        <v>0</v>
      </c>
      <c r="J110" s="581">
        <f>IF(J$16&gt;'III. Inputs, Renewable Energy'!$U$17,0, 'III. Inputs, Renewable Energy'!$U$14*'III. Inputs, Renewable Energy'!$U$215*'V. LCOE, Ren. En. Generation'!$H$108)</f>
        <v>0</v>
      </c>
      <c r="K110" s="581">
        <f>IF(K$16&gt;'III. Inputs, Renewable Energy'!$U$17,0, 'III. Inputs, Renewable Energy'!$U$14*'III. Inputs, Renewable Energy'!$U$215*'V. LCOE, Ren. En. Generation'!$H$108)</f>
        <v>0</v>
      </c>
      <c r="L110" s="581">
        <f>IF(L$16&gt;'III. Inputs, Renewable Energy'!$U$17,0, 'III. Inputs, Renewable Energy'!$U$14*'III. Inputs, Renewable Energy'!$U$215*'V. LCOE, Ren. En. Generation'!$H$108)</f>
        <v>0</v>
      </c>
      <c r="M110" s="581">
        <f>IF(M$16&gt;'III. Inputs, Renewable Energy'!$U$17,0, 'III. Inputs, Renewable Energy'!$U$14*'III. Inputs, Renewable Energy'!$U$215*'V. LCOE, Ren. En. Generation'!$H$108)</f>
        <v>0</v>
      </c>
      <c r="N110" s="581">
        <f>IF(N$16&gt;'III. Inputs, Renewable Energy'!$U$17,0, 'III. Inputs, Renewable Energy'!$U$14*'III. Inputs, Renewable Energy'!$U$215*'V. LCOE, Ren. En. Generation'!$H$108)</f>
        <v>0</v>
      </c>
      <c r="O110" s="581">
        <f>IF(O$16&gt;'III. Inputs, Renewable Energy'!$U$17,0, 'III. Inputs, Renewable Energy'!$U$14*'III. Inputs, Renewable Energy'!$U$215*'V. LCOE, Ren. En. Generation'!$H$108)</f>
        <v>0</v>
      </c>
      <c r="P110" s="581">
        <f>IF(P$16&gt;'III. Inputs, Renewable Energy'!$U$17,0, 'III. Inputs, Renewable Energy'!$U$14*'III. Inputs, Renewable Energy'!$U$215*'V. LCOE, Ren. En. Generation'!$H$108)</f>
        <v>0</v>
      </c>
      <c r="Q110" s="581">
        <f>IF(Q$16&gt;'III. Inputs, Renewable Energy'!$U$17,0, 'III. Inputs, Renewable Energy'!$U$14*'III. Inputs, Renewable Energy'!$U$215*'V. LCOE, Ren. En. Generation'!$H$108)</f>
        <v>0</v>
      </c>
      <c r="R110" s="581">
        <f>IF(R$16&gt;'III. Inputs, Renewable Energy'!$U$17,0, 'III. Inputs, Renewable Energy'!$U$14*'III. Inputs, Renewable Energy'!$U$215*'V. LCOE, Ren. En. Generation'!$H$108)</f>
        <v>0</v>
      </c>
      <c r="S110" s="581">
        <f>IF(S$16&gt;'III. Inputs, Renewable Energy'!$U$17,0, 'III. Inputs, Renewable Energy'!$U$14*'III. Inputs, Renewable Energy'!$U$215*'V. LCOE, Ren. En. Generation'!$H$108)</f>
        <v>0</v>
      </c>
      <c r="T110" s="581">
        <f>IF(T$16&gt;'III. Inputs, Renewable Energy'!$U$17,0, 'III. Inputs, Renewable Energy'!$U$14*'III. Inputs, Renewable Energy'!$U$215*'V. LCOE, Ren. En. Generation'!$H$108)</f>
        <v>0</v>
      </c>
      <c r="U110" s="581">
        <f>IF(U$16&gt;'III. Inputs, Renewable Energy'!$U$17,0, 'III. Inputs, Renewable Energy'!$U$14*'III. Inputs, Renewable Energy'!$U$215*'V. LCOE, Ren. En. Generation'!$H$108)</f>
        <v>0</v>
      </c>
      <c r="V110" s="581">
        <f>IF(V$16&gt;'III. Inputs, Renewable Energy'!$U$17,0, 'III. Inputs, Renewable Energy'!$U$14*'III. Inputs, Renewable Energy'!$U$215*'V. LCOE, Ren. En. Generation'!$H$108)</f>
        <v>0</v>
      </c>
      <c r="W110" s="581">
        <f>IF(W$16&gt;'III. Inputs, Renewable Energy'!$U$17,0, 'III. Inputs, Renewable Energy'!$U$14*'III. Inputs, Renewable Energy'!$U$215*'V. LCOE, Ren. En. Generation'!$H$108)</f>
        <v>0</v>
      </c>
      <c r="X110" s="581">
        <f>IF(X$16&gt;'III. Inputs, Renewable Energy'!$U$17,0, 'III. Inputs, Renewable Energy'!$U$14*'III. Inputs, Renewable Energy'!$U$215*'V. LCOE, Ren. En. Generation'!$H$108)</f>
        <v>0</v>
      </c>
      <c r="Y110" s="581">
        <f>IF(Y$16&gt;'III. Inputs, Renewable Energy'!$U$17,0, 'III. Inputs, Renewable Energy'!$U$14*'III. Inputs, Renewable Energy'!$U$215*'V. LCOE, Ren. En. Generation'!$H$108)</f>
        <v>0</v>
      </c>
      <c r="Z110" s="581">
        <f>IF(Z$16&gt;'III. Inputs, Renewable Energy'!$U$17,0, 'III. Inputs, Renewable Energy'!$U$14*'III. Inputs, Renewable Energy'!$U$215*'V. LCOE, Ren. En. Generation'!$H$108)</f>
        <v>0</v>
      </c>
      <c r="AA110" s="1059">
        <f>IF(AA$16&gt;'III. Inputs, Renewable Energy'!$U$17,0, 'III. Inputs, Renewable Energy'!$U$14*'III. Inputs, Renewable Energy'!$U$215*'V. LCOE, Ren. En. Generation'!$H$108)</f>
        <v>0</v>
      </c>
    </row>
    <row r="111" spans="1:27" ht="7.5" customHeight="1" x14ac:dyDescent="0.2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x14ac:dyDescent="0.25">
      <c r="B112" s="577" t="s">
        <v>99</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60"/>
    </row>
    <row r="113" spans="2:27" x14ac:dyDescent="0.2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25">
      <c r="B114" s="575" t="s">
        <v>100</v>
      </c>
      <c r="C114" s="38"/>
      <c r="D114" s="38"/>
      <c r="E114" s="210"/>
      <c r="F114" s="210" t="s">
        <v>22</v>
      </c>
      <c r="G114" s="1369"/>
      <c r="H114" s="1370">
        <f>IF(H$16&gt;'III. Inputs, Renewable Energy'!$U$17,0,IF('III. Inputs, Renewable Energy'!$V$224="Model Default",VLOOKUP('V. LCOE, Ren. En. Generation'!H$16,'VII. Additional Data'!$C$75:$D$94,2,FALSE)*'III. Inputs, Renewable Energy'!$U$14,'III. Inputs, Renewable Energy'!$V$227)*(1+'III. Inputs, Renewable Energy'!$V$228)^('V. LCOE, Ren. En. Generation'!H$16-1))</f>
        <v>3497802.0000000005</v>
      </c>
      <c r="I114" s="1370">
        <f>IF(I$16&gt;'III. Inputs, Renewable Energy'!$U$17,0,IF('III. Inputs, Renewable Energy'!$V$224="Model Default",VLOOKUP('V. LCOE, Ren. En. Generation'!I$16,'VII. Additional Data'!$C$75:$D$94,2,FALSE)*'III. Inputs, Renewable Energy'!$U$14,('III. Inputs, Renewable Energy'!$V$227)*(1+'III. Inputs, Renewable Energy'!$V$228)^('V. LCOE, Ren. En. Generation'!I$16-1)))</f>
        <v>5771370</v>
      </c>
      <c r="J114" s="1370">
        <f>IF(J$16&gt;'III. Inputs, Renewable Energy'!$U$17,0,IF('III. Inputs, Renewable Energy'!$V$224="Model Default",VLOOKUP('V. LCOE, Ren. En. Generation'!J$16,'VII. Additional Data'!$C$75:$D$94,2,FALSE)*'III. Inputs, Renewable Energy'!$U$14,('III. Inputs, Renewable Energy'!$V$227)*(1+'III. Inputs, Renewable Energy'!$V$228)^('V. LCOE, Ren. En. Generation'!J$16-1)))</f>
        <v>8044938.0000000009</v>
      </c>
      <c r="K114" s="1370">
        <f>IF(K$16&gt;'III. Inputs, Renewable Energy'!$U$17,0,IF('III. Inputs, Renewable Energy'!$V$224="Model Default",VLOOKUP('V. LCOE, Ren. En. Generation'!K$16,'VII. Additional Data'!$C$75:$D$94,2,FALSE)*'III. Inputs, Renewable Energy'!$U$14,('III. Inputs, Renewable Energy'!$V$227)*(1+'III. Inputs, Renewable Energy'!$V$228)^('V. LCOE, Ren. En. Generation'!K$16-1)))</f>
        <v>10318506.000000002</v>
      </c>
      <c r="L114" s="1370">
        <f>IF(L$16&gt;'III. Inputs, Renewable Energy'!$U$17,0,IF('III. Inputs, Renewable Energy'!$V$224="Model Default",VLOOKUP('V. LCOE, Ren. En. Generation'!L$16,'VII. Additional Data'!$C$75:$D$94,2,FALSE)*'III. Inputs, Renewable Energy'!$U$14,('III. Inputs, Renewable Energy'!$V$227)*(1+'III. Inputs, Renewable Energy'!$V$228)^('V. LCOE, Ren. En. Generation'!L$16-1)))</f>
        <v>12592074.000000002</v>
      </c>
      <c r="M114" s="1370">
        <f>IF(M$16&gt;'III. Inputs, Renewable Energy'!$U$17,0,IF('III. Inputs, Renewable Energy'!$V$224="Model Default",VLOOKUP('V. LCOE, Ren. En. Generation'!M$16,'VII. Additional Data'!$C$75:$D$94,2,FALSE)*'III. Inputs, Renewable Energy'!$U$14,('III. Inputs, Renewable Energy'!$V$227)*(1+'III. Inputs, Renewable Energy'!$V$228)^('V. LCOE, Ren. En. Generation'!M$16-1)))</f>
        <v>14865642.000000004</v>
      </c>
      <c r="N114" s="1370">
        <f>IF(N$16&gt;'III. Inputs, Renewable Energy'!$U$17,0,IF('III. Inputs, Renewable Energy'!$V$224="Model Default",VLOOKUP('V. LCOE, Ren. En. Generation'!N$16,'VII. Additional Data'!$C$75:$D$94,2,FALSE)*'III. Inputs, Renewable Energy'!$U$14,('III. Inputs, Renewable Energy'!$V$227)*(1+'III. Inputs, Renewable Energy'!$V$228)^('V. LCOE, Ren. En. Generation'!N$16-1)))</f>
        <v>17139210.000000004</v>
      </c>
      <c r="O114" s="1370">
        <f>IF(O$16&gt;'III. Inputs, Renewable Energy'!$U$17,0,IF('III. Inputs, Renewable Energy'!$V$224="Model Default",VLOOKUP('V. LCOE, Ren. En. Generation'!O$16,'VII. Additional Data'!$C$75:$D$94,2,FALSE)*'III. Inputs, Renewable Energy'!$U$14,('III. Inputs, Renewable Energy'!$V$227)*(1+'III. Inputs, Renewable Energy'!$V$228)^('V. LCOE, Ren. En. Generation'!O$16-1)))</f>
        <v>19412778.000000004</v>
      </c>
      <c r="P114" s="1370">
        <f>IF(P$16&gt;'III. Inputs, Renewable Energy'!$U$17,0,IF('III. Inputs, Renewable Energy'!$V$224="Model Default",VLOOKUP('V. LCOE, Ren. En. Generation'!P$16,'VII. Additional Data'!$C$75:$D$94,2,FALSE)*'III. Inputs, Renewable Energy'!$U$14,('III. Inputs, Renewable Energy'!$V$227)*(1+'III. Inputs, Renewable Energy'!$V$228)^('V. LCOE, Ren. En. Generation'!P$16-1)))</f>
        <v>21686346</v>
      </c>
      <c r="Q114" s="1370">
        <f>IF(Q$16&gt;'III. Inputs, Renewable Energy'!$U$17,0,IF('III. Inputs, Renewable Energy'!$V$224="Model Default",VLOOKUP('V. LCOE, Ren. En. Generation'!Q$16,'VII. Additional Data'!$C$75:$D$94,2,FALSE)*'III. Inputs, Renewable Energy'!$U$14,('III. Inputs, Renewable Energy'!$V$227)*(1+'III. Inputs, Renewable Energy'!$V$228)^('V. LCOE, Ren. En. Generation'!Q$16-1)))</f>
        <v>23959914</v>
      </c>
      <c r="R114" s="1370">
        <f>IF(R$16&gt;'III. Inputs, Renewable Energy'!$U$17,0,IF('III. Inputs, Renewable Energy'!$V$224="Model Default",VLOOKUP('V. LCOE, Ren. En. Generation'!R$16,'VII. Additional Data'!$C$75:$D$94,2,FALSE)*'III. Inputs, Renewable Energy'!$U$14,('III. Inputs, Renewable Energy'!$V$227)*(1+'III. Inputs, Renewable Energy'!$V$228)^('V. LCOE, Ren. En. Generation'!R$16-1)))</f>
        <v>26233482.000000004</v>
      </c>
      <c r="S114" s="1370">
        <f>IF(S$16&gt;'III. Inputs, Renewable Energy'!$U$17,0,IF('III. Inputs, Renewable Energy'!$V$224="Model Default",VLOOKUP('V. LCOE, Ren. En. Generation'!S$16,'VII. Additional Data'!$C$75:$D$94,2,FALSE)*'III. Inputs, Renewable Energy'!$U$14,('III. Inputs, Renewable Energy'!$V$227)*(1+'III. Inputs, Renewable Energy'!$V$228)^('V. LCOE, Ren. En. Generation'!S$16-1)))</f>
        <v>28507050.000000007</v>
      </c>
      <c r="T114" s="1370">
        <f>IF(T$16&gt;'III. Inputs, Renewable Energy'!$U$17,0,IF('III. Inputs, Renewable Energy'!$V$224="Model Default",VLOOKUP('V. LCOE, Ren. En. Generation'!T$16,'VII. Additional Data'!$C$75:$D$94,2,FALSE)*'III. Inputs, Renewable Energy'!$U$14,('III. Inputs, Renewable Energy'!$V$227)*(1+'III. Inputs, Renewable Energy'!$V$228)^('V. LCOE, Ren. En. Generation'!T$16-1)))</f>
        <v>30780618.000000004</v>
      </c>
      <c r="U114" s="1370">
        <f>IF(U$16&gt;'III. Inputs, Renewable Energy'!$U$17,0,IF('III. Inputs, Renewable Energy'!$V$224="Model Default",VLOOKUP('V. LCOE, Ren. En. Generation'!U$16,'VII. Additional Data'!$C$75:$D$94,2,FALSE)*'III. Inputs, Renewable Energy'!$U$14,('III. Inputs, Renewable Energy'!$V$227)*(1+'III. Inputs, Renewable Energy'!$V$228)^('V. LCOE, Ren. En. Generation'!U$16-1)))</f>
        <v>33054186.000000007</v>
      </c>
      <c r="V114" s="1370">
        <f>IF(V$16&gt;'III. Inputs, Renewable Energy'!$U$17,0,IF('III. Inputs, Renewable Energy'!$V$224="Model Default",VLOOKUP('V. LCOE, Ren. En. Generation'!V$16,'VII. Additional Data'!$C$75:$D$94,2,FALSE)*'III. Inputs, Renewable Energy'!$U$14,('III. Inputs, Renewable Energy'!$V$227)*(1+'III. Inputs, Renewable Energy'!$V$228)^('V. LCOE, Ren. En. Generation'!V$16-1)))</f>
        <v>35327754</v>
      </c>
      <c r="W114" s="1370">
        <f>IF(W$16&gt;'III. Inputs, Renewable Energy'!$U$17,0,IF('III. Inputs, Renewable Energy'!$V$224="Model Default",VLOOKUP('V. LCOE, Ren. En. Generation'!W$16,'VII. Additional Data'!$C$75:$D$94,2,FALSE)*'III. Inputs, Renewable Energy'!$U$14,('III. Inputs, Renewable Energy'!$V$227)*(1+'III. Inputs, Renewable Energy'!$V$228)^('V. LCOE, Ren. En. Generation'!W$16-1)))</f>
        <v>37601322.000000007</v>
      </c>
      <c r="X114" s="1370">
        <f>IF(X$16&gt;'III. Inputs, Renewable Energy'!$U$17,0,IF('III. Inputs, Renewable Energy'!$V$224="Model Default",VLOOKUP('V. LCOE, Ren. En. Generation'!X$16,'VII. Additional Data'!$C$75:$D$94,2,FALSE)*'III. Inputs, Renewable Energy'!$U$14,('III. Inputs, Renewable Energy'!$V$227)*(1+'III. Inputs, Renewable Energy'!$V$228)^('V. LCOE, Ren. En. Generation'!X$16-1)))</f>
        <v>39874890.000000007</v>
      </c>
      <c r="Y114" s="1370">
        <f>IF(Y$16&gt;'III. Inputs, Renewable Energy'!$U$17,0,IF('III. Inputs, Renewable Energy'!$V$224="Model Default",VLOOKUP('V. LCOE, Ren. En. Generation'!Y$16,'VII. Additional Data'!$C$75:$D$94,2,FALSE)*'III. Inputs, Renewable Energy'!$U$14,('III. Inputs, Renewable Energy'!$V$227)*(1+'III. Inputs, Renewable Energy'!$V$228)^('V. LCOE, Ren. En. Generation'!Y$16-1)))</f>
        <v>42148458.000000007</v>
      </c>
      <c r="Z114" s="1370">
        <f>IF(Z$16&gt;'III. Inputs, Renewable Energy'!$U$17,0,IF('III. Inputs, Renewable Energy'!$V$224="Model Default",VLOOKUP('V. LCOE, Ren. En. Generation'!Z$16,'VII. Additional Data'!$C$75:$D$94,2,FALSE)*'III. Inputs, Renewable Energy'!$U$14,('III. Inputs, Renewable Energy'!$V$227)*(1+'III. Inputs, Renewable Energy'!$V$228)^('V. LCOE, Ren. En. Generation'!Z$16-1)))</f>
        <v>44422026.000000007</v>
      </c>
      <c r="AA114" s="1371">
        <f>IF(AA$16&gt;'III. Inputs, Renewable Energy'!$U$17,0,IF('III. Inputs, Renewable Energy'!$V$224="Model Default",VLOOKUP('V. LCOE, Ren. En. Generation'!AA$16,'VII. Additional Data'!$C$75:$D$94,2,FALSE)*'III. Inputs, Renewable Energy'!$U$14,('III. Inputs, Renewable Energy'!$V$227)*(1+'III. Inputs, Renewable Energy'!$V$228)^('V. LCOE, Ren. En. Generation'!AA$16-1)))</f>
        <v>46695594</v>
      </c>
    </row>
    <row r="115" spans="2:27" x14ac:dyDescent="0.25">
      <c r="B115" s="575"/>
      <c r="C115" s="38"/>
      <c r="D115" s="38"/>
      <c r="E115" s="210"/>
      <c r="F115" s="210"/>
      <c r="G115" s="1369"/>
      <c r="H115" s="1370"/>
      <c r="I115" s="1370"/>
      <c r="J115" s="1370"/>
      <c r="K115" s="1370"/>
      <c r="L115" s="1370"/>
      <c r="M115" s="1370"/>
      <c r="N115" s="1370"/>
      <c r="O115" s="1370"/>
      <c r="P115" s="1370"/>
      <c r="Q115" s="1370"/>
      <c r="R115" s="1370"/>
      <c r="S115" s="1370"/>
      <c r="T115" s="1370"/>
      <c r="U115" s="1370"/>
      <c r="V115" s="1370"/>
      <c r="W115" s="1370"/>
      <c r="X115" s="1370"/>
      <c r="Y115" s="1370"/>
      <c r="Z115" s="1370"/>
      <c r="AA115" s="1371"/>
    </row>
    <row r="116" spans="2:27" x14ac:dyDescent="0.25">
      <c r="B116" s="575" t="s">
        <v>101</v>
      </c>
      <c r="C116" s="38"/>
      <c r="D116" s="38"/>
      <c r="E116" s="210"/>
      <c r="F116" s="210" t="s">
        <v>22</v>
      </c>
      <c r="G116" s="1369"/>
      <c r="H116" s="1369" t="e">
        <f>H379</f>
        <v>#VALUE!</v>
      </c>
      <c r="I116" s="1369" t="e">
        <f>I379</f>
        <v>#VALUE!</v>
      </c>
      <c r="J116" s="1369" t="e">
        <f t="shared" ref="J116:AA116" si="35">J379</f>
        <v>#VALUE!</v>
      </c>
      <c r="K116" s="1369" t="e">
        <f t="shared" si="35"/>
        <v>#VALUE!</v>
      </c>
      <c r="L116" s="1369" t="e">
        <f t="shared" si="35"/>
        <v>#VALUE!</v>
      </c>
      <c r="M116" s="1369" t="e">
        <f t="shared" si="35"/>
        <v>#VALUE!</v>
      </c>
      <c r="N116" s="1369" t="e">
        <f t="shared" si="35"/>
        <v>#VALUE!</v>
      </c>
      <c r="O116" s="1369" t="e">
        <f t="shared" si="35"/>
        <v>#VALUE!</v>
      </c>
      <c r="P116" s="1369" t="e">
        <f t="shared" si="35"/>
        <v>#VALUE!</v>
      </c>
      <c r="Q116" s="1369" t="e">
        <f t="shared" si="35"/>
        <v>#VALUE!</v>
      </c>
      <c r="R116" s="1369" t="e">
        <f t="shared" si="35"/>
        <v>#VALUE!</v>
      </c>
      <c r="S116" s="1369" t="e">
        <f t="shared" si="35"/>
        <v>#VALUE!</v>
      </c>
      <c r="T116" s="1369" t="e">
        <f t="shared" si="35"/>
        <v>#VALUE!</v>
      </c>
      <c r="U116" s="1369" t="e">
        <f t="shared" si="35"/>
        <v>#VALUE!</v>
      </c>
      <c r="V116" s="1369" t="e">
        <f t="shared" si="35"/>
        <v>#VALUE!</v>
      </c>
      <c r="W116" s="1369" t="e">
        <f t="shared" si="35"/>
        <v>#VALUE!</v>
      </c>
      <c r="X116" s="1369" t="e">
        <f t="shared" si="35"/>
        <v>#VALUE!</v>
      </c>
      <c r="Y116" s="1369" t="e">
        <f t="shared" si="35"/>
        <v>#VALUE!</v>
      </c>
      <c r="Z116" s="1369" t="e">
        <f t="shared" si="35"/>
        <v>#VALUE!</v>
      </c>
      <c r="AA116" s="1372" t="e">
        <f t="shared" si="35"/>
        <v>#VALUE!</v>
      </c>
    </row>
    <row r="117" spans="2:27" x14ac:dyDescent="0.25">
      <c r="B117" s="575"/>
      <c r="C117" s="38"/>
      <c r="D117" s="38"/>
      <c r="E117" s="210"/>
      <c r="F117" s="210"/>
      <c r="G117" s="1369"/>
      <c r="H117" s="1369"/>
      <c r="I117" s="1369"/>
      <c r="J117" s="1369"/>
      <c r="K117" s="1369"/>
      <c r="L117" s="1369"/>
      <c r="M117" s="1369"/>
      <c r="N117" s="1369"/>
      <c r="O117" s="1369"/>
      <c r="P117" s="1369"/>
      <c r="Q117" s="1369"/>
      <c r="R117" s="1369"/>
      <c r="S117" s="1369"/>
      <c r="T117" s="1369"/>
      <c r="U117" s="1369"/>
      <c r="V117" s="1369"/>
      <c r="W117" s="1369"/>
      <c r="X117" s="1369"/>
      <c r="Y117" s="1369"/>
      <c r="Z117" s="1369"/>
      <c r="AA117" s="1372"/>
    </row>
    <row r="118" spans="2:27" x14ac:dyDescent="0.25">
      <c r="B118" s="575" t="s">
        <v>256</v>
      </c>
      <c r="C118" s="38"/>
      <c r="D118" s="38"/>
      <c r="E118" s="210"/>
      <c r="F118" s="210" t="s">
        <v>22</v>
      </c>
      <c r="G118" s="1369"/>
      <c r="H118" s="1369">
        <f>H282</f>
        <v>0</v>
      </c>
      <c r="I118" s="1369">
        <f>I282</f>
        <v>0</v>
      </c>
      <c r="J118" s="1369">
        <f t="shared" ref="J118:AA118" si="36">J282</f>
        <v>0</v>
      </c>
      <c r="K118" s="1369">
        <f t="shared" si="36"/>
        <v>0</v>
      </c>
      <c r="L118" s="1369">
        <f t="shared" si="36"/>
        <v>0</v>
      </c>
      <c r="M118" s="1369">
        <f t="shared" si="36"/>
        <v>0</v>
      </c>
      <c r="N118" s="1369">
        <f t="shared" si="36"/>
        <v>0</v>
      </c>
      <c r="O118" s="1369">
        <f t="shared" si="36"/>
        <v>0</v>
      </c>
      <c r="P118" s="1369">
        <f t="shared" si="36"/>
        <v>0</v>
      </c>
      <c r="Q118" s="1369">
        <f t="shared" si="36"/>
        <v>0</v>
      </c>
      <c r="R118" s="1369">
        <f t="shared" si="36"/>
        <v>0</v>
      </c>
      <c r="S118" s="1369">
        <f t="shared" si="36"/>
        <v>0</v>
      </c>
      <c r="T118" s="1369">
        <f t="shared" si="36"/>
        <v>0</v>
      </c>
      <c r="U118" s="1369">
        <f t="shared" si="36"/>
        <v>0</v>
      </c>
      <c r="V118" s="1369">
        <f t="shared" si="36"/>
        <v>0</v>
      </c>
      <c r="W118" s="1369">
        <f t="shared" si="36"/>
        <v>0</v>
      </c>
      <c r="X118" s="1369">
        <f t="shared" si="36"/>
        <v>0</v>
      </c>
      <c r="Y118" s="1369">
        <f t="shared" si="36"/>
        <v>0</v>
      </c>
      <c r="Z118" s="1369">
        <f t="shared" si="36"/>
        <v>0</v>
      </c>
      <c r="AA118" s="1372">
        <f t="shared" si="36"/>
        <v>0</v>
      </c>
    </row>
    <row r="119" spans="2:27" x14ac:dyDescent="0.25">
      <c r="B119" s="575" t="s">
        <v>188</v>
      </c>
      <c r="C119" s="38"/>
      <c r="D119" s="38"/>
      <c r="E119" s="210"/>
      <c r="F119" s="210" t="s">
        <v>22</v>
      </c>
      <c r="G119" s="1369"/>
      <c r="H119" s="1369">
        <f>H303</f>
        <v>0</v>
      </c>
      <c r="I119" s="1369">
        <f>I303</f>
        <v>0</v>
      </c>
      <c r="J119" s="1369">
        <f t="shared" ref="J119:AA119" si="37">J303</f>
        <v>0</v>
      </c>
      <c r="K119" s="1369">
        <f t="shared" si="37"/>
        <v>0</v>
      </c>
      <c r="L119" s="1369">
        <f t="shared" si="37"/>
        <v>0</v>
      </c>
      <c r="M119" s="1369">
        <f t="shared" si="37"/>
        <v>0</v>
      </c>
      <c r="N119" s="1369">
        <f t="shared" si="37"/>
        <v>0</v>
      </c>
      <c r="O119" s="1369">
        <f t="shared" si="37"/>
        <v>0</v>
      </c>
      <c r="P119" s="1369">
        <f t="shared" si="37"/>
        <v>0</v>
      </c>
      <c r="Q119" s="1369">
        <f t="shared" si="37"/>
        <v>0</v>
      </c>
      <c r="R119" s="1369">
        <f t="shared" si="37"/>
        <v>0</v>
      </c>
      <c r="S119" s="1369">
        <f t="shared" si="37"/>
        <v>0</v>
      </c>
      <c r="T119" s="1369">
        <f t="shared" si="37"/>
        <v>0</v>
      </c>
      <c r="U119" s="1369">
        <f t="shared" si="37"/>
        <v>0</v>
      </c>
      <c r="V119" s="1369">
        <f t="shared" si="37"/>
        <v>0</v>
      </c>
      <c r="W119" s="1369">
        <f t="shared" si="37"/>
        <v>0</v>
      </c>
      <c r="X119" s="1369">
        <f t="shared" si="37"/>
        <v>0</v>
      </c>
      <c r="Y119" s="1369">
        <f t="shared" si="37"/>
        <v>0</v>
      </c>
      <c r="Z119" s="1369">
        <f t="shared" si="37"/>
        <v>0</v>
      </c>
      <c r="AA119" s="1372">
        <f t="shared" si="37"/>
        <v>0</v>
      </c>
    </row>
    <row r="120" spans="2:27" x14ac:dyDescent="0.25">
      <c r="B120" s="575" t="s">
        <v>189</v>
      </c>
      <c r="C120" s="38"/>
      <c r="D120" s="38"/>
      <c r="E120" s="210"/>
      <c r="F120" s="210" t="s">
        <v>22</v>
      </c>
      <c r="G120" s="1369"/>
      <c r="H120" s="1369">
        <f>H324</f>
        <v>0</v>
      </c>
      <c r="I120" s="1369">
        <f>I324</f>
        <v>0</v>
      </c>
      <c r="J120" s="1369">
        <f t="shared" ref="J120:AA120" si="38">J324</f>
        <v>0</v>
      </c>
      <c r="K120" s="1369">
        <f t="shared" si="38"/>
        <v>0</v>
      </c>
      <c r="L120" s="1369">
        <f t="shared" si="38"/>
        <v>0</v>
      </c>
      <c r="M120" s="1369">
        <f t="shared" si="38"/>
        <v>0</v>
      </c>
      <c r="N120" s="1369">
        <f t="shared" si="38"/>
        <v>0</v>
      </c>
      <c r="O120" s="1369">
        <f t="shared" si="38"/>
        <v>0</v>
      </c>
      <c r="P120" s="1369">
        <f t="shared" si="38"/>
        <v>0</v>
      </c>
      <c r="Q120" s="1369">
        <f t="shared" si="38"/>
        <v>0</v>
      </c>
      <c r="R120" s="1369">
        <f t="shared" si="38"/>
        <v>0</v>
      </c>
      <c r="S120" s="1369">
        <f t="shared" si="38"/>
        <v>0</v>
      </c>
      <c r="T120" s="1369">
        <f t="shared" si="38"/>
        <v>0</v>
      </c>
      <c r="U120" s="1369">
        <f t="shared" si="38"/>
        <v>0</v>
      </c>
      <c r="V120" s="1369">
        <f t="shared" si="38"/>
        <v>0</v>
      </c>
      <c r="W120" s="1369">
        <f t="shared" si="38"/>
        <v>0</v>
      </c>
      <c r="X120" s="1369">
        <f t="shared" si="38"/>
        <v>0</v>
      </c>
      <c r="Y120" s="1369">
        <f t="shared" si="38"/>
        <v>0</v>
      </c>
      <c r="Z120" s="1369">
        <f t="shared" si="38"/>
        <v>0</v>
      </c>
      <c r="AA120" s="1372">
        <f t="shared" si="38"/>
        <v>0</v>
      </c>
    </row>
    <row r="121" spans="2:27" x14ac:dyDescent="0.25">
      <c r="B121" s="575" t="s">
        <v>132</v>
      </c>
      <c r="C121" s="38"/>
      <c r="D121" s="38"/>
      <c r="E121" s="210"/>
      <c r="F121" s="210" t="s">
        <v>22</v>
      </c>
      <c r="G121" s="1369"/>
      <c r="H121" s="1369">
        <f>(H293+H314+H335)</f>
        <v>0</v>
      </c>
      <c r="I121" s="1369">
        <f>(I293+I314+I335)</f>
        <v>0</v>
      </c>
      <c r="J121" s="1369">
        <f t="shared" ref="J121:AA121" si="39">(J293+J314+J335)</f>
        <v>0</v>
      </c>
      <c r="K121" s="1369">
        <f t="shared" si="39"/>
        <v>0</v>
      </c>
      <c r="L121" s="1369">
        <f t="shared" si="39"/>
        <v>0</v>
      </c>
      <c r="M121" s="1369">
        <f t="shared" si="39"/>
        <v>0</v>
      </c>
      <c r="N121" s="1369">
        <f t="shared" si="39"/>
        <v>0</v>
      </c>
      <c r="O121" s="1369">
        <f t="shared" si="39"/>
        <v>0</v>
      </c>
      <c r="P121" s="1369">
        <f t="shared" si="39"/>
        <v>0</v>
      </c>
      <c r="Q121" s="1369">
        <f t="shared" si="39"/>
        <v>0</v>
      </c>
      <c r="R121" s="1369">
        <f t="shared" si="39"/>
        <v>0</v>
      </c>
      <c r="S121" s="1369">
        <f t="shared" si="39"/>
        <v>0</v>
      </c>
      <c r="T121" s="1369">
        <f t="shared" si="39"/>
        <v>0</v>
      </c>
      <c r="U121" s="1369">
        <f t="shared" si="39"/>
        <v>0</v>
      </c>
      <c r="V121" s="1369">
        <f t="shared" si="39"/>
        <v>0</v>
      </c>
      <c r="W121" s="1369">
        <f t="shared" si="39"/>
        <v>0</v>
      </c>
      <c r="X121" s="1369">
        <f t="shared" si="39"/>
        <v>0</v>
      </c>
      <c r="Y121" s="1369">
        <f t="shared" si="39"/>
        <v>0</v>
      </c>
      <c r="Z121" s="1369">
        <f t="shared" si="39"/>
        <v>0</v>
      </c>
      <c r="AA121" s="1372">
        <f t="shared" si="39"/>
        <v>0</v>
      </c>
    </row>
    <row r="122" spans="2:27" x14ac:dyDescent="0.25">
      <c r="B122" s="575" t="s">
        <v>190</v>
      </c>
      <c r="C122" s="38"/>
      <c r="D122" s="38"/>
      <c r="E122" s="210"/>
      <c r="F122" s="210" t="s">
        <v>22</v>
      </c>
      <c r="G122" s="1369"/>
      <c r="H122" s="1369">
        <f>(H315+H316)</f>
        <v>0</v>
      </c>
      <c r="I122" s="1369">
        <f>I316</f>
        <v>0</v>
      </c>
      <c r="J122" s="1369">
        <f t="shared" ref="J122:AA122" si="40">J316</f>
        <v>0</v>
      </c>
      <c r="K122" s="1369">
        <f t="shared" si="40"/>
        <v>0</v>
      </c>
      <c r="L122" s="1369">
        <f t="shared" si="40"/>
        <v>0</v>
      </c>
      <c r="M122" s="1369">
        <f t="shared" si="40"/>
        <v>0</v>
      </c>
      <c r="N122" s="1369">
        <f t="shared" si="40"/>
        <v>0</v>
      </c>
      <c r="O122" s="1369">
        <f t="shared" si="40"/>
        <v>0</v>
      </c>
      <c r="P122" s="1369">
        <f t="shared" si="40"/>
        <v>0</v>
      </c>
      <c r="Q122" s="1369">
        <f t="shared" si="40"/>
        <v>0</v>
      </c>
      <c r="R122" s="1369">
        <f t="shared" si="40"/>
        <v>0</v>
      </c>
      <c r="S122" s="1369">
        <f t="shared" si="40"/>
        <v>0</v>
      </c>
      <c r="T122" s="1369">
        <f t="shared" si="40"/>
        <v>0</v>
      </c>
      <c r="U122" s="1369">
        <f t="shared" si="40"/>
        <v>0</v>
      </c>
      <c r="V122" s="1369">
        <f t="shared" si="40"/>
        <v>0</v>
      </c>
      <c r="W122" s="1369">
        <f t="shared" si="40"/>
        <v>0</v>
      </c>
      <c r="X122" s="1369">
        <f t="shared" si="40"/>
        <v>0</v>
      </c>
      <c r="Y122" s="1369">
        <f t="shared" si="40"/>
        <v>0</v>
      </c>
      <c r="Z122" s="1369">
        <f t="shared" si="40"/>
        <v>0</v>
      </c>
      <c r="AA122" s="1372">
        <f t="shared" si="40"/>
        <v>0</v>
      </c>
    </row>
    <row r="123" spans="2:27" x14ac:dyDescent="0.25">
      <c r="B123" s="575" t="s">
        <v>134</v>
      </c>
      <c r="C123" s="38"/>
      <c r="D123" s="38"/>
      <c r="E123" s="210"/>
      <c r="F123" s="210" t="s">
        <v>22</v>
      </c>
      <c r="G123" s="1369"/>
      <c r="H123" s="1369">
        <f>(H345+H346)</f>
        <v>0</v>
      </c>
      <c r="I123" s="1369">
        <f>I346</f>
        <v>0</v>
      </c>
      <c r="J123" s="1369">
        <f t="shared" ref="J123:AA123" si="41">J346</f>
        <v>0</v>
      </c>
      <c r="K123" s="1369">
        <f t="shared" si="41"/>
        <v>0</v>
      </c>
      <c r="L123" s="1369">
        <f t="shared" si="41"/>
        <v>0</v>
      </c>
      <c r="M123" s="1369">
        <f t="shared" si="41"/>
        <v>0</v>
      </c>
      <c r="N123" s="1369">
        <f t="shared" si="41"/>
        <v>0</v>
      </c>
      <c r="O123" s="1369">
        <f t="shared" si="41"/>
        <v>0</v>
      </c>
      <c r="P123" s="1369">
        <f t="shared" si="41"/>
        <v>0</v>
      </c>
      <c r="Q123" s="1369">
        <f t="shared" si="41"/>
        <v>0</v>
      </c>
      <c r="R123" s="1369">
        <f t="shared" si="41"/>
        <v>0</v>
      </c>
      <c r="S123" s="1369">
        <f t="shared" si="41"/>
        <v>0</v>
      </c>
      <c r="T123" s="1369">
        <f t="shared" si="41"/>
        <v>0</v>
      </c>
      <c r="U123" s="1369">
        <f t="shared" si="41"/>
        <v>0</v>
      </c>
      <c r="V123" s="1369">
        <f t="shared" si="41"/>
        <v>0</v>
      </c>
      <c r="W123" s="1369">
        <f t="shared" si="41"/>
        <v>0</v>
      </c>
      <c r="X123" s="1369">
        <f t="shared" si="41"/>
        <v>0</v>
      </c>
      <c r="Y123" s="1369">
        <f t="shared" si="41"/>
        <v>0</v>
      </c>
      <c r="Z123" s="1369">
        <f t="shared" si="41"/>
        <v>0</v>
      </c>
      <c r="AA123" s="1372">
        <f t="shared" si="41"/>
        <v>0</v>
      </c>
    </row>
    <row r="124" spans="2:27" x14ac:dyDescent="0.25">
      <c r="B124" s="575"/>
      <c r="C124" s="38"/>
      <c r="D124" s="38"/>
      <c r="E124" s="210"/>
      <c r="F124" s="210"/>
      <c r="G124" s="1369"/>
      <c r="H124" s="1369"/>
      <c r="I124" s="1369"/>
      <c r="J124" s="1369"/>
      <c r="K124" s="1369"/>
      <c r="L124" s="1369"/>
      <c r="M124" s="1369"/>
      <c r="N124" s="1369"/>
      <c r="O124" s="1369"/>
      <c r="P124" s="1369"/>
      <c r="Q124" s="1369"/>
      <c r="R124" s="1369"/>
      <c r="S124" s="1369"/>
      <c r="T124" s="1369"/>
      <c r="U124" s="1369"/>
      <c r="V124" s="1369"/>
      <c r="W124" s="1369"/>
      <c r="X124" s="1369"/>
      <c r="Y124" s="1369"/>
      <c r="Z124" s="1369"/>
      <c r="AA124" s="1372"/>
    </row>
    <row r="125" spans="2:27" x14ac:dyDescent="0.25">
      <c r="B125" s="575"/>
      <c r="C125" s="38"/>
      <c r="D125" s="38"/>
      <c r="E125" s="210"/>
      <c r="F125" s="210"/>
      <c r="G125" s="1369"/>
      <c r="H125" s="1369"/>
      <c r="I125" s="1369"/>
      <c r="J125" s="1369"/>
      <c r="K125" s="1369"/>
      <c r="L125" s="1369"/>
      <c r="M125" s="1369"/>
      <c r="N125" s="1369"/>
      <c r="O125" s="1369"/>
      <c r="P125" s="1369"/>
      <c r="Q125" s="1369"/>
      <c r="R125" s="1369"/>
      <c r="S125" s="1369"/>
      <c r="T125" s="1369"/>
      <c r="U125" s="1369"/>
      <c r="V125" s="1369"/>
      <c r="W125" s="1369"/>
      <c r="X125" s="1369"/>
      <c r="Y125" s="1369"/>
      <c r="Z125" s="1369"/>
      <c r="AA125" s="1372"/>
    </row>
    <row r="126" spans="2:27" x14ac:dyDescent="0.25">
      <c r="B126" s="582" t="s">
        <v>493</v>
      </c>
      <c r="C126" s="38"/>
      <c r="D126" s="38"/>
      <c r="E126" s="210"/>
      <c r="F126" s="210"/>
      <c r="G126" s="1369"/>
      <c r="H126" s="1369"/>
      <c r="I126" s="1369"/>
      <c r="J126" s="1369"/>
      <c r="K126" s="1369"/>
      <c r="L126" s="1369"/>
      <c r="M126" s="1369"/>
      <c r="N126" s="1369"/>
      <c r="O126" s="1369"/>
      <c r="P126" s="1369"/>
      <c r="Q126" s="1369"/>
      <c r="R126" s="1369"/>
      <c r="S126" s="1369"/>
      <c r="T126" s="1369"/>
      <c r="U126" s="1369"/>
      <c r="V126" s="1369"/>
      <c r="W126" s="1369"/>
      <c r="X126" s="1369"/>
      <c r="Y126" s="1369"/>
      <c r="Z126" s="1369"/>
      <c r="AA126" s="1372"/>
    </row>
    <row r="127" spans="2:27" x14ac:dyDescent="0.25">
      <c r="B127" s="575"/>
      <c r="C127" s="38"/>
      <c r="D127" s="38"/>
      <c r="E127" s="210"/>
      <c r="F127" s="210"/>
      <c r="G127" s="1369"/>
      <c r="H127" s="1369"/>
      <c r="I127" s="1369"/>
      <c r="J127" s="1369"/>
      <c r="K127" s="1369"/>
      <c r="L127" s="1369"/>
      <c r="M127" s="1369"/>
      <c r="N127" s="1369"/>
      <c r="O127" s="1369"/>
      <c r="P127" s="1369"/>
      <c r="Q127" s="1369"/>
      <c r="R127" s="1369"/>
      <c r="S127" s="1369"/>
      <c r="T127" s="1369"/>
      <c r="U127" s="1369"/>
      <c r="V127" s="1369"/>
      <c r="W127" s="1369"/>
      <c r="X127" s="1369"/>
      <c r="Y127" s="1369"/>
      <c r="Z127" s="1369"/>
      <c r="AA127" s="1372"/>
    </row>
    <row r="128" spans="2:27" x14ac:dyDescent="0.25">
      <c r="B128" s="575" t="str">
        <f>B114</f>
        <v>Operations &amp; Maintenance Expenses</v>
      </c>
      <c r="C128" s="38"/>
      <c r="D128" s="38"/>
      <c r="E128" s="210"/>
      <c r="F128" s="210" t="s">
        <v>22</v>
      </c>
      <c r="G128" s="1369"/>
      <c r="H128" s="1369">
        <f>-H114</f>
        <v>-3497802.0000000005</v>
      </c>
      <c r="I128" s="1369">
        <f>-I114</f>
        <v>-5771370</v>
      </c>
      <c r="J128" s="1369">
        <f t="shared" ref="J128:AA128" si="42">-J114</f>
        <v>-8044938.0000000009</v>
      </c>
      <c r="K128" s="1369">
        <f t="shared" si="42"/>
        <v>-10318506.000000002</v>
      </c>
      <c r="L128" s="1369">
        <f t="shared" si="42"/>
        <v>-12592074.000000002</v>
      </c>
      <c r="M128" s="1369">
        <f t="shared" si="42"/>
        <v>-14865642.000000004</v>
      </c>
      <c r="N128" s="1369">
        <f t="shared" si="42"/>
        <v>-17139210.000000004</v>
      </c>
      <c r="O128" s="1369">
        <f t="shared" si="42"/>
        <v>-19412778.000000004</v>
      </c>
      <c r="P128" s="1369">
        <f t="shared" si="42"/>
        <v>-21686346</v>
      </c>
      <c r="Q128" s="1369">
        <f t="shared" si="42"/>
        <v>-23959914</v>
      </c>
      <c r="R128" s="1369">
        <f t="shared" si="42"/>
        <v>-26233482.000000004</v>
      </c>
      <c r="S128" s="1369">
        <f t="shared" si="42"/>
        <v>-28507050.000000007</v>
      </c>
      <c r="T128" s="1369">
        <f t="shared" si="42"/>
        <v>-30780618.000000004</v>
      </c>
      <c r="U128" s="1369">
        <f t="shared" si="42"/>
        <v>-33054186.000000007</v>
      </c>
      <c r="V128" s="1369">
        <f t="shared" si="42"/>
        <v>-35327754</v>
      </c>
      <c r="W128" s="1369">
        <f t="shared" si="42"/>
        <v>-37601322.000000007</v>
      </c>
      <c r="X128" s="1369">
        <f t="shared" si="42"/>
        <v>-39874890.000000007</v>
      </c>
      <c r="Y128" s="1369">
        <f t="shared" si="42"/>
        <v>-42148458.000000007</v>
      </c>
      <c r="Z128" s="1369">
        <f t="shared" si="42"/>
        <v>-44422026.000000007</v>
      </c>
      <c r="AA128" s="1372">
        <f t="shared" si="42"/>
        <v>-46695594</v>
      </c>
    </row>
    <row r="129" spans="2:27" x14ac:dyDescent="0.25">
      <c r="B129" s="575" t="str">
        <f>B121</f>
        <v xml:space="preserve">Front-end Fees </v>
      </c>
      <c r="C129" s="38"/>
      <c r="D129" s="38"/>
      <c r="E129" s="210"/>
      <c r="F129" s="210" t="s">
        <v>22</v>
      </c>
      <c r="G129" s="1369"/>
      <c r="H129" s="1369">
        <f t="shared" ref="H129:I131" si="43">-H121</f>
        <v>0</v>
      </c>
      <c r="I129" s="1369">
        <f t="shared" si="43"/>
        <v>0</v>
      </c>
      <c r="J129" s="1369">
        <f t="shared" ref="J129:AA129" si="44">-J121</f>
        <v>0</v>
      </c>
      <c r="K129" s="1369">
        <f t="shared" si="44"/>
        <v>0</v>
      </c>
      <c r="L129" s="1369">
        <f t="shared" si="44"/>
        <v>0</v>
      </c>
      <c r="M129" s="1369">
        <f t="shared" si="44"/>
        <v>0</v>
      </c>
      <c r="N129" s="1369">
        <f t="shared" si="44"/>
        <v>0</v>
      </c>
      <c r="O129" s="1369">
        <f t="shared" si="44"/>
        <v>0</v>
      </c>
      <c r="P129" s="1369">
        <f t="shared" si="44"/>
        <v>0</v>
      </c>
      <c r="Q129" s="1369">
        <f t="shared" si="44"/>
        <v>0</v>
      </c>
      <c r="R129" s="1369">
        <f t="shared" si="44"/>
        <v>0</v>
      </c>
      <c r="S129" s="1369">
        <f t="shared" si="44"/>
        <v>0</v>
      </c>
      <c r="T129" s="1369">
        <f t="shared" si="44"/>
        <v>0</v>
      </c>
      <c r="U129" s="1369">
        <f t="shared" si="44"/>
        <v>0</v>
      </c>
      <c r="V129" s="1369">
        <f t="shared" si="44"/>
        <v>0</v>
      </c>
      <c r="W129" s="1369">
        <f t="shared" si="44"/>
        <v>0</v>
      </c>
      <c r="X129" s="1369">
        <f t="shared" si="44"/>
        <v>0</v>
      </c>
      <c r="Y129" s="1369">
        <f t="shared" si="44"/>
        <v>0</v>
      </c>
      <c r="Z129" s="1369">
        <f t="shared" si="44"/>
        <v>0</v>
      </c>
      <c r="AA129" s="1372">
        <f t="shared" si="44"/>
        <v>0</v>
      </c>
    </row>
    <row r="130" spans="2:27" x14ac:dyDescent="0.25">
      <c r="B130" s="575" t="str">
        <f>B122</f>
        <v xml:space="preserve">Public Guarantee Fees </v>
      </c>
      <c r="C130" s="38"/>
      <c r="D130" s="38"/>
      <c r="E130" s="210"/>
      <c r="F130" s="210" t="s">
        <v>22</v>
      </c>
      <c r="G130" s="1369"/>
      <c r="H130" s="1369">
        <f t="shared" si="43"/>
        <v>0</v>
      </c>
      <c r="I130" s="1369">
        <f t="shared" si="43"/>
        <v>0</v>
      </c>
      <c r="J130" s="1369">
        <f t="shared" ref="J130:AA130" si="45">-J122</f>
        <v>0</v>
      </c>
      <c r="K130" s="1369">
        <f t="shared" si="45"/>
        <v>0</v>
      </c>
      <c r="L130" s="1369">
        <f t="shared" si="45"/>
        <v>0</v>
      </c>
      <c r="M130" s="1369">
        <f t="shared" si="45"/>
        <v>0</v>
      </c>
      <c r="N130" s="1369">
        <f t="shared" si="45"/>
        <v>0</v>
      </c>
      <c r="O130" s="1369">
        <f t="shared" si="45"/>
        <v>0</v>
      </c>
      <c r="P130" s="1369">
        <f t="shared" si="45"/>
        <v>0</v>
      </c>
      <c r="Q130" s="1369">
        <f t="shared" si="45"/>
        <v>0</v>
      </c>
      <c r="R130" s="1369">
        <f t="shared" si="45"/>
        <v>0</v>
      </c>
      <c r="S130" s="1369">
        <f t="shared" si="45"/>
        <v>0</v>
      </c>
      <c r="T130" s="1369">
        <f t="shared" si="45"/>
        <v>0</v>
      </c>
      <c r="U130" s="1369">
        <f t="shared" si="45"/>
        <v>0</v>
      </c>
      <c r="V130" s="1369">
        <f t="shared" si="45"/>
        <v>0</v>
      </c>
      <c r="W130" s="1369">
        <f t="shared" si="45"/>
        <v>0</v>
      </c>
      <c r="X130" s="1369">
        <f t="shared" si="45"/>
        <v>0</v>
      </c>
      <c r="Y130" s="1369">
        <f t="shared" si="45"/>
        <v>0</v>
      </c>
      <c r="Z130" s="1369">
        <f t="shared" si="45"/>
        <v>0</v>
      </c>
      <c r="AA130" s="1372">
        <f t="shared" si="45"/>
        <v>0</v>
      </c>
    </row>
    <row r="131" spans="2:27" x14ac:dyDescent="0.25">
      <c r="B131" s="575" t="str">
        <f>B123</f>
        <v>Political Risk Insurance - Fees &amp; Annual Premium Payments</v>
      </c>
      <c r="C131" s="38"/>
      <c r="D131" s="38"/>
      <c r="E131" s="210"/>
      <c r="F131" s="210" t="s">
        <v>22</v>
      </c>
      <c r="G131" s="1369"/>
      <c r="H131" s="1369">
        <f t="shared" si="43"/>
        <v>0</v>
      </c>
      <c r="I131" s="1369">
        <f t="shared" si="43"/>
        <v>0</v>
      </c>
      <c r="J131" s="1369">
        <f t="shared" ref="J131:AA131" si="46">-J123</f>
        <v>0</v>
      </c>
      <c r="K131" s="1369">
        <f t="shared" si="46"/>
        <v>0</v>
      </c>
      <c r="L131" s="1369">
        <f t="shared" si="46"/>
        <v>0</v>
      </c>
      <c r="M131" s="1369">
        <f t="shared" si="46"/>
        <v>0</v>
      </c>
      <c r="N131" s="1369">
        <f t="shared" si="46"/>
        <v>0</v>
      </c>
      <c r="O131" s="1369">
        <f t="shared" si="46"/>
        <v>0</v>
      </c>
      <c r="P131" s="1369">
        <f t="shared" si="46"/>
        <v>0</v>
      </c>
      <c r="Q131" s="1369">
        <f t="shared" si="46"/>
        <v>0</v>
      </c>
      <c r="R131" s="1369">
        <f t="shared" si="46"/>
        <v>0</v>
      </c>
      <c r="S131" s="1369">
        <f t="shared" si="46"/>
        <v>0</v>
      </c>
      <c r="T131" s="1369">
        <f t="shared" si="46"/>
        <v>0</v>
      </c>
      <c r="U131" s="1369">
        <f t="shared" si="46"/>
        <v>0</v>
      </c>
      <c r="V131" s="1369">
        <f t="shared" si="46"/>
        <v>0</v>
      </c>
      <c r="W131" s="1369">
        <f t="shared" si="46"/>
        <v>0</v>
      </c>
      <c r="X131" s="1369">
        <f t="shared" si="46"/>
        <v>0</v>
      </c>
      <c r="Y131" s="1369">
        <f t="shared" si="46"/>
        <v>0</v>
      </c>
      <c r="Z131" s="1369">
        <f t="shared" si="46"/>
        <v>0</v>
      </c>
      <c r="AA131" s="1372">
        <f t="shared" si="46"/>
        <v>0</v>
      </c>
    </row>
    <row r="132" spans="2:27" x14ac:dyDescent="0.25">
      <c r="B132" s="575" t="s">
        <v>102</v>
      </c>
      <c r="C132" s="38"/>
      <c r="D132" s="38"/>
      <c r="E132" s="210"/>
      <c r="F132" s="210" t="s">
        <v>22</v>
      </c>
      <c r="G132" s="1369"/>
      <c r="H132" s="1369">
        <f>-(H284+H305+H326)</f>
        <v>0</v>
      </c>
      <c r="I132" s="1369">
        <f t="shared" ref="I132:AA132" si="47">-(I284+I305+I326)</f>
        <v>0</v>
      </c>
      <c r="J132" s="1369">
        <f t="shared" si="47"/>
        <v>0</v>
      </c>
      <c r="K132" s="1369">
        <f t="shared" si="47"/>
        <v>0</v>
      </c>
      <c r="L132" s="1369">
        <f t="shared" si="47"/>
        <v>0</v>
      </c>
      <c r="M132" s="1369">
        <f t="shared" si="47"/>
        <v>0</v>
      </c>
      <c r="N132" s="1369">
        <f t="shared" si="47"/>
        <v>0</v>
      </c>
      <c r="O132" s="1369">
        <f t="shared" si="47"/>
        <v>0</v>
      </c>
      <c r="P132" s="1369">
        <f t="shared" si="47"/>
        <v>0</v>
      </c>
      <c r="Q132" s="1369">
        <f t="shared" si="47"/>
        <v>0</v>
      </c>
      <c r="R132" s="1369">
        <f t="shared" si="47"/>
        <v>0</v>
      </c>
      <c r="S132" s="1369">
        <f t="shared" si="47"/>
        <v>0</v>
      </c>
      <c r="T132" s="1369">
        <f t="shared" si="47"/>
        <v>0</v>
      </c>
      <c r="U132" s="1369">
        <f t="shared" si="47"/>
        <v>0</v>
      </c>
      <c r="V132" s="1369">
        <f t="shared" si="47"/>
        <v>0</v>
      </c>
      <c r="W132" s="1369">
        <f t="shared" si="47"/>
        <v>0</v>
      </c>
      <c r="X132" s="1369">
        <f t="shared" si="47"/>
        <v>0</v>
      </c>
      <c r="Y132" s="1369">
        <f t="shared" si="47"/>
        <v>0</v>
      </c>
      <c r="Z132" s="1369">
        <f t="shared" si="47"/>
        <v>0</v>
      </c>
      <c r="AA132" s="1372">
        <f t="shared" si="47"/>
        <v>0</v>
      </c>
    </row>
    <row r="133" spans="2:27" x14ac:dyDescent="0.25">
      <c r="B133" s="583" t="s">
        <v>103</v>
      </c>
      <c r="C133" s="39"/>
      <c r="D133" s="39"/>
      <c r="E133" s="212"/>
      <c r="F133" s="212" t="s">
        <v>22</v>
      </c>
      <c r="G133" s="1373"/>
      <c r="H133" s="1373" t="e">
        <f>(H114+H116+H121+H122+H123+H118+H119+H120)*'III. Inputs, Renewable Energy'!$U$18</f>
        <v>#VALUE!</v>
      </c>
      <c r="I133" s="1373" t="e">
        <f>(I114+I116+I121+I122+I123+I118+I119+I120)*'III. Inputs, Renewable Energy'!$U$18</f>
        <v>#VALUE!</v>
      </c>
      <c r="J133" s="1373" t="e">
        <f>(J114+J116+J121+J122+J123+J118+J119+J120)*'III. Inputs, Renewable Energy'!$U$18</f>
        <v>#VALUE!</v>
      </c>
      <c r="K133" s="1373" t="e">
        <f>(K114+K116+K121+K122+K123+K118+K119+K120)*'III. Inputs, Renewable Energy'!$U$18</f>
        <v>#VALUE!</v>
      </c>
      <c r="L133" s="1373" t="e">
        <f>(L114+L116+L121+L122+L123+L118+L119+L120)*'III. Inputs, Renewable Energy'!$U$18</f>
        <v>#VALUE!</v>
      </c>
      <c r="M133" s="1373" t="e">
        <f>(M114+M116+M121+M122+M123+M118+M119+M120)*'III. Inputs, Renewable Energy'!$U$18</f>
        <v>#VALUE!</v>
      </c>
      <c r="N133" s="1373" t="e">
        <f>(N114+N116+N121+N122+N123+N118+N119+N120)*'III. Inputs, Renewable Energy'!$U$18</f>
        <v>#VALUE!</v>
      </c>
      <c r="O133" s="1373" t="e">
        <f>(O114+O116+O121+O122+O123+O118+O119+O120)*'III. Inputs, Renewable Energy'!$U$18</f>
        <v>#VALUE!</v>
      </c>
      <c r="P133" s="1373" t="e">
        <f>(P114+P116+P121+P122+P123+P118+P119+P120)*'III. Inputs, Renewable Energy'!$U$18</f>
        <v>#VALUE!</v>
      </c>
      <c r="Q133" s="1373" t="e">
        <f>(Q114+Q116+Q121+Q122+Q123+Q118+Q119+Q120)*'III. Inputs, Renewable Energy'!$U$18</f>
        <v>#VALUE!</v>
      </c>
      <c r="R133" s="1373" t="e">
        <f>(R114+R116+R121+R122+R123+R118+R119+R120)*'III. Inputs, Renewable Energy'!$U$18</f>
        <v>#VALUE!</v>
      </c>
      <c r="S133" s="1373" t="e">
        <f>(S114+S116+S121+S122+S123+S118+S119+S120)*'III. Inputs, Renewable Energy'!$U$18</f>
        <v>#VALUE!</v>
      </c>
      <c r="T133" s="1373" t="e">
        <f>(T114+T116+T121+T122+T123+T118+T119+T120)*'III. Inputs, Renewable Energy'!$U$18</f>
        <v>#VALUE!</v>
      </c>
      <c r="U133" s="1373" t="e">
        <f>(U114+U116+U121+U122+U123+U118+U119+U120)*'III. Inputs, Renewable Energy'!$U$18</f>
        <v>#VALUE!</v>
      </c>
      <c r="V133" s="1373" t="e">
        <f>(V114+V116+V121+V122+V123+V118+V119+V120)*'III. Inputs, Renewable Energy'!$U$18</f>
        <v>#VALUE!</v>
      </c>
      <c r="W133" s="1373" t="e">
        <f>(W114+W116+W121+W122+W123+W118+W119+W120)*'III. Inputs, Renewable Energy'!$U$18</f>
        <v>#VALUE!</v>
      </c>
      <c r="X133" s="1373" t="e">
        <f>(X114+X116+X121+X122+X123+X118+X119+X120)*'III. Inputs, Renewable Energy'!$U$18</f>
        <v>#VALUE!</v>
      </c>
      <c r="Y133" s="1373" t="e">
        <f>(Y114+Y116+Y121+Y122+Y123+Y118+Y119+Y120)*'III. Inputs, Renewable Energy'!$U$18</f>
        <v>#VALUE!</v>
      </c>
      <c r="Z133" s="1373" t="e">
        <f>(Z114+Z116+Z121+Z122+Z123+Z118+Z119+Z120)*'III. Inputs, Renewable Energy'!$U$18</f>
        <v>#VALUE!</v>
      </c>
      <c r="AA133" s="1374" t="e">
        <f>(AA114+AA116+AA121+AA122+AA123+AA118+AA119+AA120)*'III. Inputs, Renewable Energy'!$U$18</f>
        <v>#VALUE!</v>
      </c>
    </row>
    <row r="134" spans="2:27" x14ac:dyDescent="0.25">
      <c r="B134" s="575" t="s">
        <v>104</v>
      </c>
      <c r="C134" s="38"/>
      <c r="D134" s="38"/>
      <c r="E134" s="210"/>
      <c r="F134" s="210" t="s">
        <v>22</v>
      </c>
      <c r="G134" s="1369">
        <f>-'III. Inputs, Renewable Energy'!$U$14*'III. Inputs, Renewable Energy'!$U$15*'III. Inputs, Renewable Energy'!$V$28</f>
        <v>0</v>
      </c>
      <c r="H134" s="1369" t="e">
        <f>SUM(H128:H133)</f>
        <v>#VALUE!</v>
      </c>
      <c r="I134" s="1369" t="e">
        <f>SUM(I128:I133)</f>
        <v>#VALUE!</v>
      </c>
      <c r="J134" s="1369" t="e">
        <f t="shared" ref="J134:AA134" si="48">SUM(J128:J133)</f>
        <v>#VALUE!</v>
      </c>
      <c r="K134" s="1369" t="e">
        <f t="shared" si="48"/>
        <v>#VALUE!</v>
      </c>
      <c r="L134" s="1369" t="e">
        <f t="shared" si="48"/>
        <v>#VALUE!</v>
      </c>
      <c r="M134" s="1369" t="e">
        <f t="shared" si="48"/>
        <v>#VALUE!</v>
      </c>
      <c r="N134" s="1369" t="e">
        <f t="shared" si="48"/>
        <v>#VALUE!</v>
      </c>
      <c r="O134" s="1369" t="e">
        <f t="shared" si="48"/>
        <v>#VALUE!</v>
      </c>
      <c r="P134" s="1369" t="e">
        <f t="shared" si="48"/>
        <v>#VALUE!</v>
      </c>
      <c r="Q134" s="1369" t="e">
        <f t="shared" si="48"/>
        <v>#VALUE!</v>
      </c>
      <c r="R134" s="1369" t="e">
        <f t="shared" si="48"/>
        <v>#VALUE!</v>
      </c>
      <c r="S134" s="1369" t="e">
        <f t="shared" si="48"/>
        <v>#VALUE!</v>
      </c>
      <c r="T134" s="1369" t="e">
        <f t="shared" si="48"/>
        <v>#VALUE!</v>
      </c>
      <c r="U134" s="1369" t="e">
        <f t="shared" si="48"/>
        <v>#VALUE!</v>
      </c>
      <c r="V134" s="1369" t="e">
        <f t="shared" si="48"/>
        <v>#VALUE!</v>
      </c>
      <c r="W134" s="1369" t="e">
        <f t="shared" si="48"/>
        <v>#VALUE!</v>
      </c>
      <c r="X134" s="1369" t="e">
        <f t="shared" si="48"/>
        <v>#VALUE!</v>
      </c>
      <c r="Y134" s="1369" t="e">
        <f t="shared" si="48"/>
        <v>#VALUE!</v>
      </c>
      <c r="Z134" s="1369" t="e">
        <f t="shared" si="48"/>
        <v>#VALUE!</v>
      </c>
      <c r="AA134" s="1372" t="e">
        <f t="shared" si="48"/>
        <v>#VALUE!</v>
      </c>
    </row>
    <row r="135" spans="2:27" x14ac:dyDescent="0.25">
      <c r="B135" s="575"/>
      <c r="C135" s="38"/>
      <c r="D135" s="38"/>
      <c r="E135" s="210"/>
      <c r="F135" s="38"/>
      <c r="G135" s="38"/>
      <c r="H135" s="38"/>
      <c r="I135" s="38"/>
      <c r="J135" s="38"/>
      <c r="K135" s="38"/>
      <c r="L135" s="38"/>
      <c r="M135" s="38"/>
      <c r="N135" s="38"/>
      <c r="O135" s="38"/>
      <c r="P135" s="38"/>
      <c r="Q135" s="38"/>
      <c r="R135" s="38"/>
      <c r="S135" s="38"/>
      <c r="T135" s="38"/>
      <c r="U135" s="38"/>
      <c r="V135" s="38"/>
      <c r="W135" s="38"/>
      <c r="X135" s="38"/>
      <c r="Y135" s="38"/>
      <c r="Z135" s="38"/>
      <c r="AA135" s="576"/>
    </row>
    <row r="136" spans="2:27" x14ac:dyDescent="0.25">
      <c r="B136" s="575" t="s">
        <v>105</v>
      </c>
      <c r="C136" s="38"/>
      <c r="D136" s="38"/>
      <c r="E136" s="210"/>
      <c r="F136" s="38"/>
      <c r="G136" s="1098">
        <f>SUM('III. Inputs, Renewable Energy'!$V$36)</f>
        <v>0</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25">
      <c r="B137" s="575" t="s">
        <v>106</v>
      </c>
      <c r="C137" s="38"/>
      <c r="D137" s="38"/>
      <c r="E137" s="210"/>
      <c r="F137" s="38"/>
      <c r="G137" s="1369" t="e">
        <f>NPV(G136,H134:AA134)+G134</f>
        <v>#VALUE!</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25">
      <c r="B138" s="575" t="s">
        <v>107</v>
      </c>
      <c r="C138" s="38"/>
      <c r="D138" s="38"/>
      <c r="E138" s="210"/>
      <c r="F138" s="38"/>
      <c r="G138" s="1369">
        <f>-NPV($G$136,H110:AA110)</f>
        <v>0</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3">
      <c r="B139" s="575" t="s">
        <v>108</v>
      </c>
      <c r="C139" s="38"/>
      <c r="D139" s="38"/>
      <c r="E139" s="210"/>
      <c r="F139" s="210" t="s">
        <v>625</v>
      </c>
      <c r="G139" s="1375" t="e">
        <f>IF(OR(G137=0, G138=0), 0, G137/G138)</f>
        <v>#VALUE!</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3">
      <c r="B140" s="584" t="s">
        <v>109</v>
      </c>
      <c r="C140" s="585"/>
      <c r="D140" s="585"/>
      <c r="E140" s="586"/>
      <c r="F140" s="586" t="s">
        <v>626</v>
      </c>
      <c r="G140" s="1376" t="e">
        <f>$G$139/(1-'III. Inputs, Renewable Energy'!$U$18)</f>
        <v>#VALUE!</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3">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3"/>
    <row r="143" spans="2:27" ht="10.5" customHeight="1" outlineLevel="1" x14ac:dyDescent="0.2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25">
      <c r="B144" s="582"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2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25">
      <c r="B146" s="577" t="s">
        <v>58</v>
      </c>
      <c r="C146" s="578"/>
      <c r="D146" s="578"/>
      <c r="E146" s="579"/>
      <c r="F146" s="578"/>
      <c r="G146" s="579">
        <f>G106</f>
        <v>0</v>
      </c>
      <c r="H146" s="579">
        <f t="shared" ref="H146:AA146" si="49">H106</f>
        <v>1</v>
      </c>
      <c r="I146" s="579">
        <f t="shared" si="49"/>
        <v>2</v>
      </c>
      <c r="J146" s="579">
        <f t="shared" si="49"/>
        <v>3</v>
      </c>
      <c r="K146" s="579">
        <f t="shared" si="49"/>
        <v>4</v>
      </c>
      <c r="L146" s="579">
        <f t="shared" si="49"/>
        <v>5</v>
      </c>
      <c r="M146" s="579">
        <f t="shared" si="49"/>
        <v>6</v>
      </c>
      <c r="N146" s="579">
        <f t="shared" si="49"/>
        <v>7</v>
      </c>
      <c r="O146" s="579">
        <f t="shared" si="49"/>
        <v>8</v>
      </c>
      <c r="P146" s="579">
        <f t="shared" si="49"/>
        <v>9</v>
      </c>
      <c r="Q146" s="579">
        <f t="shared" si="49"/>
        <v>10</v>
      </c>
      <c r="R146" s="579">
        <f t="shared" si="49"/>
        <v>11</v>
      </c>
      <c r="S146" s="579">
        <f t="shared" si="49"/>
        <v>12</v>
      </c>
      <c r="T146" s="579">
        <f t="shared" si="49"/>
        <v>13</v>
      </c>
      <c r="U146" s="579">
        <f t="shared" si="49"/>
        <v>14</v>
      </c>
      <c r="V146" s="579">
        <f t="shared" si="49"/>
        <v>15</v>
      </c>
      <c r="W146" s="579">
        <f t="shared" si="49"/>
        <v>16</v>
      </c>
      <c r="X146" s="579">
        <f t="shared" si="49"/>
        <v>17</v>
      </c>
      <c r="Y146" s="579">
        <f t="shared" si="49"/>
        <v>18</v>
      </c>
      <c r="Z146" s="579">
        <f t="shared" si="49"/>
        <v>19</v>
      </c>
      <c r="AA146" s="579">
        <f t="shared" si="49"/>
        <v>20</v>
      </c>
    </row>
    <row r="147" spans="2:28" ht="17.25" customHeight="1" outlineLevel="1" x14ac:dyDescent="0.2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25">
      <c r="B148" s="575" t="s">
        <v>97</v>
      </c>
      <c r="C148" s="38"/>
      <c r="D148" s="38"/>
      <c r="E148" s="210"/>
      <c r="F148" s="210" t="s">
        <v>98</v>
      </c>
      <c r="G148" s="210"/>
      <c r="H148" s="594">
        <f>H110</f>
        <v>0</v>
      </c>
      <c r="I148" s="594">
        <f t="shared" ref="I148:AA148" si="50">I110</f>
        <v>0</v>
      </c>
      <c r="J148" s="594">
        <f t="shared" si="50"/>
        <v>0</v>
      </c>
      <c r="K148" s="594">
        <f t="shared" si="50"/>
        <v>0</v>
      </c>
      <c r="L148" s="594">
        <f t="shared" si="50"/>
        <v>0</v>
      </c>
      <c r="M148" s="594">
        <f t="shared" si="50"/>
        <v>0</v>
      </c>
      <c r="N148" s="594">
        <f t="shared" si="50"/>
        <v>0</v>
      </c>
      <c r="O148" s="594">
        <f t="shared" si="50"/>
        <v>0</v>
      </c>
      <c r="P148" s="594">
        <f t="shared" si="50"/>
        <v>0</v>
      </c>
      <c r="Q148" s="594">
        <f t="shared" si="50"/>
        <v>0</v>
      </c>
      <c r="R148" s="594">
        <f t="shared" si="50"/>
        <v>0</v>
      </c>
      <c r="S148" s="594">
        <f t="shared" si="50"/>
        <v>0</v>
      </c>
      <c r="T148" s="594">
        <f t="shared" si="50"/>
        <v>0</v>
      </c>
      <c r="U148" s="594">
        <f t="shared" si="50"/>
        <v>0</v>
      </c>
      <c r="V148" s="594">
        <f t="shared" si="50"/>
        <v>0</v>
      </c>
      <c r="W148" s="594">
        <f t="shared" si="50"/>
        <v>0</v>
      </c>
      <c r="X148" s="594">
        <f t="shared" si="50"/>
        <v>0</v>
      </c>
      <c r="Y148" s="594">
        <f t="shared" si="50"/>
        <v>0</v>
      </c>
      <c r="Z148" s="594">
        <f t="shared" si="50"/>
        <v>0</v>
      </c>
      <c r="AA148" s="594">
        <f t="shared" si="50"/>
        <v>0</v>
      </c>
    </row>
    <row r="149" spans="2:28" ht="17.25" customHeight="1" outlineLevel="1" x14ac:dyDescent="0.2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8" ht="17.25" customHeight="1" outlineLevel="1" x14ac:dyDescent="0.25">
      <c r="B150" s="575" t="s">
        <v>111</v>
      </c>
      <c r="C150" s="38"/>
      <c r="D150" s="38"/>
      <c r="E150" s="210"/>
      <c r="F150" s="210" t="s">
        <v>626</v>
      </c>
      <c r="G150" s="1205"/>
      <c r="H150" s="1377" t="e">
        <f>$G$140</f>
        <v>#VALUE!</v>
      </c>
      <c r="I150" s="1377" t="e">
        <f t="shared" ref="I150:AA150" si="51">$G$140</f>
        <v>#VALUE!</v>
      </c>
      <c r="J150" s="1377" t="e">
        <f t="shared" si="51"/>
        <v>#VALUE!</v>
      </c>
      <c r="K150" s="1377" t="e">
        <f t="shared" si="51"/>
        <v>#VALUE!</v>
      </c>
      <c r="L150" s="1377" t="e">
        <f t="shared" si="51"/>
        <v>#VALUE!</v>
      </c>
      <c r="M150" s="1377" t="e">
        <f t="shared" si="51"/>
        <v>#VALUE!</v>
      </c>
      <c r="N150" s="1377" t="e">
        <f t="shared" si="51"/>
        <v>#VALUE!</v>
      </c>
      <c r="O150" s="1377" t="e">
        <f t="shared" si="51"/>
        <v>#VALUE!</v>
      </c>
      <c r="P150" s="1377" t="e">
        <f t="shared" si="51"/>
        <v>#VALUE!</v>
      </c>
      <c r="Q150" s="1377" t="e">
        <f t="shared" si="51"/>
        <v>#VALUE!</v>
      </c>
      <c r="R150" s="1377" t="e">
        <f t="shared" si="51"/>
        <v>#VALUE!</v>
      </c>
      <c r="S150" s="1377" t="e">
        <f t="shared" si="51"/>
        <v>#VALUE!</v>
      </c>
      <c r="T150" s="1377" t="e">
        <f t="shared" si="51"/>
        <v>#VALUE!</v>
      </c>
      <c r="U150" s="1377" t="e">
        <f t="shared" si="51"/>
        <v>#VALUE!</v>
      </c>
      <c r="V150" s="1377" t="e">
        <f t="shared" si="51"/>
        <v>#VALUE!</v>
      </c>
      <c r="W150" s="1377" t="e">
        <f t="shared" si="51"/>
        <v>#VALUE!</v>
      </c>
      <c r="X150" s="1377" t="e">
        <f t="shared" si="51"/>
        <v>#VALUE!</v>
      </c>
      <c r="Y150" s="1377" t="e">
        <f t="shared" si="51"/>
        <v>#VALUE!</v>
      </c>
      <c r="Z150" s="1377" t="e">
        <f t="shared" si="51"/>
        <v>#VALUE!</v>
      </c>
      <c r="AA150" s="1377" t="e">
        <f t="shared" si="51"/>
        <v>#VALUE!</v>
      </c>
      <c r="AB150" s="1192"/>
    </row>
    <row r="151" spans="2:28" ht="17.25" customHeight="1" outlineLevel="1" x14ac:dyDescent="0.25">
      <c r="B151" s="583"/>
      <c r="C151" s="39"/>
      <c r="D151" s="39"/>
      <c r="E151" s="212"/>
      <c r="F151" s="212"/>
      <c r="G151" s="1207"/>
      <c r="H151" s="1378"/>
      <c r="I151" s="1378"/>
      <c r="J151" s="1378"/>
      <c r="K151" s="1378"/>
      <c r="L151" s="1378"/>
      <c r="M151" s="1378"/>
      <c r="N151" s="1378"/>
      <c r="O151" s="1378"/>
      <c r="P151" s="1378"/>
      <c r="Q151" s="1378"/>
      <c r="R151" s="1378"/>
      <c r="S151" s="1378"/>
      <c r="T151" s="1378"/>
      <c r="U151" s="1378"/>
      <c r="V151" s="1378"/>
      <c r="W151" s="1378"/>
      <c r="X151" s="1378"/>
      <c r="Y151" s="1378"/>
      <c r="Z151" s="1378"/>
      <c r="AA151" s="1378"/>
      <c r="AB151" s="1192"/>
    </row>
    <row r="152" spans="2:28" ht="17.25" customHeight="1" outlineLevel="1" x14ac:dyDescent="0.25">
      <c r="B152" s="575" t="s">
        <v>112</v>
      </c>
      <c r="C152" s="38"/>
      <c r="D152" s="38"/>
      <c r="E152" s="210"/>
      <c r="F152" s="210" t="s">
        <v>22</v>
      </c>
      <c r="G152" s="1205"/>
      <c r="H152" s="1379" t="e">
        <f>H148*H150</f>
        <v>#VALUE!</v>
      </c>
      <c r="I152" s="1379" t="e">
        <f t="shared" ref="I152:AA152" si="52">I148*I150</f>
        <v>#VALUE!</v>
      </c>
      <c r="J152" s="1379" t="e">
        <f t="shared" si="52"/>
        <v>#VALUE!</v>
      </c>
      <c r="K152" s="1379" t="e">
        <f t="shared" si="52"/>
        <v>#VALUE!</v>
      </c>
      <c r="L152" s="1379" t="e">
        <f t="shared" si="52"/>
        <v>#VALUE!</v>
      </c>
      <c r="M152" s="1379" t="e">
        <f t="shared" si="52"/>
        <v>#VALUE!</v>
      </c>
      <c r="N152" s="1379" t="e">
        <f t="shared" si="52"/>
        <v>#VALUE!</v>
      </c>
      <c r="O152" s="1379" t="e">
        <f t="shared" si="52"/>
        <v>#VALUE!</v>
      </c>
      <c r="P152" s="1379" t="e">
        <f t="shared" si="52"/>
        <v>#VALUE!</v>
      </c>
      <c r="Q152" s="1379" t="e">
        <f t="shared" si="52"/>
        <v>#VALUE!</v>
      </c>
      <c r="R152" s="1379" t="e">
        <f t="shared" si="52"/>
        <v>#VALUE!</v>
      </c>
      <c r="S152" s="1379" t="e">
        <f t="shared" si="52"/>
        <v>#VALUE!</v>
      </c>
      <c r="T152" s="1379" t="e">
        <f t="shared" si="52"/>
        <v>#VALUE!</v>
      </c>
      <c r="U152" s="1379" t="e">
        <f t="shared" si="52"/>
        <v>#VALUE!</v>
      </c>
      <c r="V152" s="1379" t="e">
        <f t="shared" si="52"/>
        <v>#VALUE!</v>
      </c>
      <c r="W152" s="1379" t="e">
        <f t="shared" si="52"/>
        <v>#VALUE!</v>
      </c>
      <c r="X152" s="1379" t="e">
        <f t="shared" si="52"/>
        <v>#VALUE!</v>
      </c>
      <c r="Y152" s="1379" t="e">
        <f t="shared" si="52"/>
        <v>#VALUE!</v>
      </c>
      <c r="Z152" s="1379" t="e">
        <f t="shared" si="52"/>
        <v>#VALUE!</v>
      </c>
      <c r="AA152" s="1379" t="e">
        <f t="shared" si="52"/>
        <v>#VALUE!</v>
      </c>
      <c r="AB152" s="1192"/>
    </row>
    <row r="153" spans="2:28" ht="6.75" customHeight="1" outlineLevel="1" x14ac:dyDescent="0.25">
      <c r="B153" s="575"/>
      <c r="C153" s="38"/>
      <c r="D153" s="38"/>
      <c r="E153" s="210"/>
      <c r="F153" s="210"/>
      <c r="G153" s="1205"/>
      <c r="H153" s="1379"/>
      <c r="I153" s="1379"/>
      <c r="J153" s="1379"/>
      <c r="K153" s="1379"/>
      <c r="L153" s="1379"/>
      <c r="M153" s="1379"/>
      <c r="N153" s="1379"/>
      <c r="O153" s="1379"/>
      <c r="P153" s="1379"/>
      <c r="Q153" s="1379"/>
      <c r="R153" s="1379"/>
      <c r="S153" s="1379"/>
      <c r="T153" s="1379"/>
      <c r="U153" s="1379"/>
      <c r="V153" s="1379"/>
      <c r="W153" s="1379"/>
      <c r="X153" s="1379"/>
      <c r="Y153" s="1379"/>
      <c r="Z153" s="1379"/>
      <c r="AA153" s="1379"/>
      <c r="AB153" s="1192"/>
    </row>
    <row r="154" spans="2:28" ht="17.25" customHeight="1" outlineLevel="1" x14ac:dyDescent="0.25">
      <c r="B154" s="575" t="s">
        <v>113</v>
      </c>
      <c r="C154" s="38"/>
      <c r="D154" s="38"/>
      <c r="E154" s="210"/>
      <c r="F154" s="210" t="s">
        <v>22</v>
      </c>
      <c r="G154" s="1205"/>
      <c r="H154" s="1379">
        <f>-H114</f>
        <v>-3497802.0000000005</v>
      </c>
      <c r="I154" s="1379">
        <f t="shared" ref="I154:AA154" si="53">-I114</f>
        <v>-5771370</v>
      </c>
      <c r="J154" s="1379">
        <f t="shared" si="53"/>
        <v>-8044938.0000000009</v>
      </c>
      <c r="K154" s="1379">
        <f t="shared" si="53"/>
        <v>-10318506.000000002</v>
      </c>
      <c r="L154" s="1379">
        <f t="shared" si="53"/>
        <v>-12592074.000000002</v>
      </c>
      <c r="M154" s="1379">
        <f t="shared" si="53"/>
        <v>-14865642.000000004</v>
      </c>
      <c r="N154" s="1379">
        <f t="shared" si="53"/>
        <v>-17139210.000000004</v>
      </c>
      <c r="O154" s="1379">
        <f t="shared" si="53"/>
        <v>-19412778.000000004</v>
      </c>
      <c r="P154" s="1379">
        <f t="shared" si="53"/>
        <v>-21686346</v>
      </c>
      <c r="Q154" s="1379">
        <f t="shared" si="53"/>
        <v>-23959914</v>
      </c>
      <c r="R154" s="1379">
        <f t="shared" si="53"/>
        <v>-26233482.000000004</v>
      </c>
      <c r="S154" s="1379">
        <f t="shared" si="53"/>
        <v>-28507050.000000007</v>
      </c>
      <c r="T154" s="1379">
        <f t="shared" si="53"/>
        <v>-30780618.000000004</v>
      </c>
      <c r="U154" s="1379">
        <f t="shared" si="53"/>
        <v>-33054186.000000007</v>
      </c>
      <c r="V154" s="1379">
        <f t="shared" si="53"/>
        <v>-35327754</v>
      </c>
      <c r="W154" s="1379">
        <f t="shared" si="53"/>
        <v>-37601322.000000007</v>
      </c>
      <c r="X154" s="1379">
        <f t="shared" si="53"/>
        <v>-39874890.000000007</v>
      </c>
      <c r="Y154" s="1379">
        <f t="shared" si="53"/>
        <v>-42148458.000000007</v>
      </c>
      <c r="Z154" s="1379">
        <f t="shared" si="53"/>
        <v>-44422026.000000007</v>
      </c>
      <c r="AA154" s="1379">
        <f t="shared" si="53"/>
        <v>-46695594</v>
      </c>
      <c r="AB154" s="1192"/>
    </row>
    <row r="155" spans="2:28" ht="4.5" customHeight="1" outlineLevel="1" x14ac:dyDescent="0.25">
      <c r="B155" s="575"/>
      <c r="C155" s="38"/>
      <c r="D155" s="38"/>
      <c r="E155" s="210"/>
      <c r="F155" s="210"/>
      <c r="G155" s="1205"/>
      <c r="H155" s="1379"/>
      <c r="I155" s="1379"/>
      <c r="J155" s="1379"/>
      <c r="K155" s="1379"/>
      <c r="L155" s="1379"/>
      <c r="M155" s="1379"/>
      <c r="N155" s="1379"/>
      <c r="O155" s="1379"/>
      <c r="P155" s="1379"/>
      <c r="Q155" s="1379"/>
      <c r="R155" s="1379"/>
      <c r="S155" s="1379"/>
      <c r="T155" s="1379"/>
      <c r="U155" s="1379"/>
      <c r="V155" s="1379"/>
      <c r="W155" s="1379"/>
      <c r="X155" s="1379"/>
      <c r="Y155" s="1379"/>
      <c r="Z155" s="1379"/>
      <c r="AA155" s="1379"/>
      <c r="AB155" s="1192"/>
    </row>
    <row r="156" spans="2:28" ht="17.25" customHeight="1" outlineLevel="1" x14ac:dyDescent="0.25">
      <c r="B156" s="582" t="s">
        <v>114</v>
      </c>
      <c r="C156" s="596"/>
      <c r="D156" s="596"/>
      <c r="E156" s="597"/>
      <c r="F156" s="597"/>
      <c r="G156" s="1209"/>
      <c r="H156" s="1380" t="e">
        <f>H152+H154</f>
        <v>#VALUE!</v>
      </c>
      <c r="I156" s="1380" t="e">
        <f t="shared" ref="I156:AA156" si="54">I152+I154</f>
        <v>#VALUE!</v>
      </c>
      <c r="J156" s="1380" t="e">
        <f t="shared" si="54"/>
        <v>#VALUE!</v>
      </c>
      <c r="K156" s="1380" t="e">
        <f t="shared" si="54"/>
        <v>#VALUE!</v>
      </c>
      <c r="L156" s="1380" t="e">
        <f t="shared" si="54"/>
        <v>#VALUE!</v>
      </c>
      <c r="M156" s="1380" t="e">
        <f t="shared" si="54"/>
        <v>#VALUE!</v>
      </c>
      <c r="N156" s="1380" t="e">
        <f t="shared" si="54"/>
        <v>#VALUE!</v>
      </c>
      <c r="O156" s="1380" t="e">
        <f t="shared" si="54"/>
        <v>#VALUE!</v>
      </c>
      <c r="P156" s="1380" t="e">
        <f t="shared" si="54"/>
        <v>#VALUE!</v>
      </c>
      <c r="Q156" s="1380" t="e">
        <f t="shared" si="54"/>
        <v>#VALUE!</v>
      </c>
      <c r="R156" s="1380" t="e">
        <f t="shared" si="54"/>
        <v>#VALUE!</v>
      </c>
      <c r="S156" s="1380" t="e">
        <f t="shared" si="54"/>
        <v>#VALUE!</v>
      </c>
      <c r="T156" s="1380" t="e">
        <f t="shared" si="54"/>
        <v>#VALUE!</v>
      </c>
      <c r="U156" s="1380" t="e">
        <f t="shared" si="54"/>
        <v>#VALUE!</v>
      </c>
      <c r="V156" s="1380" t="e">
        <f t="shared" si="54"/>
        <v>#VALUE!</v>
      </c>
      <c r="W156" s="1380" t="e">
        <f t="shared" si="54"/>
        <v>#VALUE!</v>
      </c>
      <c r="X156" s="1380" t="e">
        <f t="shared" si="54"/>
        <v>#VALUE!</v>
      </c>
      <c r="Y156" s="1380" t="e">
        <f t="shared" si="54"/>
        <v>#VALUE!</v>
      </c>
      <c r="Z156" s="1380" t="e">
        <f t="shared" si="54"/>
        <v>#VALUE!</v>
      </c>
      <c r="AA156" s="1380" t="e">
        <f t="shared" si="54"/>
        <v>#VALUE!</v>
      </c>
      <c r="AB156" s="1192"/>
    </row>
    <row r="157" spans="2:28" ht="7.5" customHeight="1" outlineLevel="1" x14ac:dyDescent="0.25">
      <c r="B157" s="575"/>
      <c r="C157" s="38"/>
      <c r="D157" s="38"/>
      <c r="E157" s="210"/>
      <c r="F157" s="210"/>
      <c r="G157" s="1205"/>
      <c r="H157" s="1379"/>
      <c r="I157" s="1379"/>
      <c r="J157" s="1379"/>
      <c r="K157" s="1379"/>
      <c r="L157" s="1379"/>
      <c r="M157" s="1379"/>
      <c r="N157" s="1379"/>
      <c r="O157" s="1379"/>
      <c r="P157" s="1379"/>
      <c r="Q157" s="1379"/>
      <c r="R157" s="1379"/>
      <c r="S157" s="1379"/>
      <c r="T157" s="1379"/>
      <c r="U157" s="1379"/>
      <c r="V157" s="1379"/>
      <c r="W157" s="1379"/>
      <c r="X157" s="1379"/>
      <c r="Y157" s="1379"/>
      <c r="Z157" s="1379"/>
      <c r="AA157" s="1379"/>
      <c r="AB157" s="1192"/>
    </row>
    <row r="158" spans="2:28" ht="17.25" customHeight="1" outlineLevel="1" x14ac:dyDescent="0.25">
      <c r="B158" s="575" t="s">
        <v>115</v>
      </c>
      <c r="C158" s="38"/>
      <c r="D158" s="38"/>
      <c r="E158" s="210"/>
      <c r="F158" s="210"/>
      <c r="G158" s="1205"/>
      <c r="H158" s="1379" t="e">
        <f>-H116</f>
        <v>#VALUE!</v>
      </c>
      <c r="I158" s="1379" t="e">
        <f t="shared" ref="I158:AA158" si="55">-I116</f>
        <v>#VALUE!</v>
      </c>
      <c r="J158" s="1379" t="e">
        <f t="shared" si="55"/>
        <v>#VALUE!</v>
      </c>
      <c r="K158" s="1379" t="e">
        <f t="shared" si="55"/>
        <v>#VALUE!</v>
      </c>
      <c r="L158" s="1379" t="e">
        <f t="shared" si="55"/>
        <v>#VALUE!</v>
      </c>
      <c r="M158" s="1379" t="e">
        <f t="shared" si="55"/>
        <v>#VALUE!</v>
      </c>
      <c r="N158" s="1379" t="e">
        <f t="shared" si="55"/>
        <v>#VALUE!</v>
      </c>
      <c r="O158" s="1379" t="e">
        <f t="shared" si="55"/>
        <v>#VALUE!</v>
      </c>
      <c r="P158" s="1379" t="e">
        <f t="shared" si="55"/>
        <v>#VALUE!</v>
      </c>
      <c r="Q158" s="1379" t="e">
        <f t="shared" si="55"/>
        <v>#VALUE!</v>
      </c>
      <c r="R158" s="1379" t="e">
        <f t="shared" si="55"/>
        <v>#VALUE!</v>
      </c>
      <c r="S158" s="1379" t="e">
        <f t="shared" si="55"/>
        <v>#VALUE!</v>
      </c>
      <c r="T158" s="1379" t="e">
        <f t="shared" si="55"/>
        <v>#VALUE!</v>
      </c>
      <c r="U158" s="1379" t="e">
        <f t="shared" si="55"/>
        <v>#VALUE!</v>
      </c>
      <c r="V158" s="1379" t="e">
        <f t="shared" si="55"/>
        <v>#VALUE!</v>
      </c>
      <c r="W158" s="1379" t="e">
        <f t="shared" si="55"/>
        <v>#VALUE!</v>
      </c>
      <c r="X158" s="1379" t="e">
        <f t="shared" si="55"/>
        <v>#VALUE!</v>
      </c>
      <c r="Y158" s="1379" t="e">
        <f t="shared" si="55"/>
        <v>#VALUE!</v>
      </c>
      <c r="Z158" s="1379" t="e">
        <f t="shared" si="55"/>
        <v>#VALUE!</v>
      </c>
      <c r="AA158" s="1379" t="e">
        <f t="shared" si="55"/>
        <v>#VALUE!</v>
      </c>
      <c r="AB158" s="1192"/>
    </row>
    <row r="159" spans="2:28" ht="9" customHeight="1" outlineLevel="1" x14ac:dyDescent="0.25">
      <c r="B159" s="575"/>
      <c r="C159" s="38"/>
      <c r="D159" s="38"/>
      <c r="E159" s="210"/>
      <c r="F159" s="210"/>
      <c r="G159" s="1205"/>
      <c r="H159" s="1379"/>
      <c r="I159" s="1379"/>
      <c r="J159" s="1379"/>
      <c r="K159" s="1379"/>
      <c r="L159" s="1379"/>
      <c r="M159" s="1379"/>
      <c r="N159" s="1379"/>
      <c r="O159" s="1379"/>
      <c r="P159" s="1379"/>
      <c r="Q159" s="1379"/>
      <c r="R159" s="1379"/>
      <c r="S159" s="1379"/>
      <c r="T159" s="1379"/>
      <c r="U159" s="1379"/>
      <c r="V159" s="1379"/>
      <c r="W159" s="1379"/>
      <c r="X159" s="1379"/>
      <c r="Y159" s="1379"/>
      <c r="Z159" s="1379"/>
      <c r="AA159" s="1379"/>
      <c r="AB159" s="1192"/>
    </row>
    <row r="160" spans="2:28" ht="17.25" customHeight="1" outlineLevel="1" x14ac:dyDescent="0.25">
      <c r="B160" s="582" t="s">
        <v>116</v>
      </c>
      <c r="C160" s="596"/>
      <c r="D160" s="596"/>
      <c r="E160" s="597"/>
      <c r="F160" s="597"/>
      <c r="G160" s="1209"/>
      <c r="H160" s="1380" t="e">
        <f>H156+H158</f>
        <v>#VALUE!</v>
      </c>
      <c r="I160" s="1380" t="e">
        <f t="shared" ref="I160:AA160" si="56">I156+I158</f>
        <v>#VALUE!</v>
      </c>
      <c r="J160" s="1380" t="e">
        <f t="shared" si="56"/>
        <v>#VALUE!</v>
      </c>
      <c r="K160" s="1380" t="e">
        <f t="shared" si="56"/>
        <v>#VALUE!</v>
      </c>
      <c r="L160" s="1380" t="e">
        <f t="shared" si="56"/>
        <v>#VALUE!</v>
      </c>
      <c r="M160" s="1380" t="e">
        <f t="shared" si="56"/>
        <v>#VALUE!</v>
      </c>
      <c r="N160" s="1380" t="e">
        <f t="shared" si="56"/>
        <v>#VALUE!</v>
      </c>
      <c r="O160" s="1380" t="e">
        <f t="shared" si="56"/>
        <v>#VALUE!</v>
      </c>
      <c r="P160" s="1380" t="e">
        <f t="shared" si="56"/>
        <v>#VALUE!</v>
      </c>
      <c r="Q160" s="1380" t="e">
        <f t="shared" si="56"/>
        <v>#VALUE!</v>
      </c>
      <c r="R160" s="1380" t="e">
        <f t="shared" si="56"/>
        <v>#VALUE!</v>
      </c>
      <c r="S160" s="1380" t="e">
        <f t="shared" si="56"/>
        <v>#VALUE!</v>
      </c>
      <c r="T160" s="1380" t="e">
        <f t="shared" si="56"/>
        <v>#VALUE!</v>
      </c>
      <c r="U160" s="1380" t="e">
        <f t="shared" si="56"/>
        <v>#VALUE!</v>
      </c>
      <c r="V160" s="1380" t="e">
        <f t="shared" si="56"/>
        <v>#VALUE!</v>
      </c>
      <c r="W160" s="1380" t="e">
        <f t="shared" si="56"/>
        <v>#VALUE!</v>
      </c>
      <c r="X160" s="1380" t="e">
        <f t="shared" si="56"/>
        <v>#VALUE!</v>
      </c>
      <c r="Y160" s="1380" t="e">
        <f t="shared" si="56"/>
        <v>#VALUE!</v>
      </c>
      <c r="Z160" s="1380" t="e">
        <f t="shared" si="56"/>
        <v>#VALUE!</v>
      </c>
      <c r="AA160" s="1380" t="e">
        <f t="shared" si="56"/>
        <v>#VALUE!</v>
      </c>
      <c r="AB160" s="1192"/>
    </row>
    <row r="161" spans="2:28" ht="6.75" customHeight="1" outlineLevel="1" x14ac:dyDescent="0.25">
      <c r="B161" s="575"/>
      <c r="C161" s="38"/>
      <c r="D161" s="38"/>
      <c r="E161" s="210"/>
      <c r="F161" s="210"/>
      <c r="G161" s="1205"/>
      <c r="H161" s="1379"/>
      <c r="I161" s="1379"/>
      <c r="J161" s="1379"/>
      <c r="K161" s="1379"/>
      <c r="L161" s="1379"/>
      <c r="M161" s="1379"/>
      <c r="N161" s="1379"/>
      <c r="O161" s="1379"/>
      <c r="P161" s="1379"/>
      <c r="Q161" s="1379"/>
      <c r="R161" s="1379"/>
      <c r="S161" s="1379"/>
      <c r="T161" s="1379"/>
      <c r="U161" s="1379"/>
      <c r="V161" s="1379"/>
      <c r="W161" s="1379"/>
      <c r="X161" s="1379"/>
      <c r="Y161" s="1379"/>
      <c r="Z161" s="1379"/>
      <c r="AA161" s="1379"/>
      <c r="AB161" s="1192"/>
    </row>
    <row r="162" spans="2:28" ht="17.25" customHeight="1" outlineLevel="1" x14ac:dyDescent="0.25">
      <c r="B162" s="575" t="str">
        <f t="shared" ref="B162:B167" si="57">B118</f>
        <v xml:space="preserve">Interest Expense, public loan </v>
      </c>
      <c r="C162" s="38"/>
      <c r="D162" s="38"/>
      <c r="E162" s="210"/>
      <c r="F162" s="210"/>
      <c r="G162" s="1205"/>
      <c r="H162" s="1379">
        <f t="shared" ref="H162:H167" si="58">-H118</f>
        <v>0</v>
      </c>
      <c r="I162" s="1379">
        <f t="shared" ref="I162:AA162" si="59">-I118</f>
        <v>0</v>
      </c>
      <c r="J162" s="1379">
        <f t="shared" si="59"/>
        <v>0</v>
      </c>
      <c r="K162" s="1379">
        <f t="shared" si="59"/>
        <v>0</v>
      </c>
      <c r="L162" s="1379">
        <f t="shared" si="59"/>
        <v>0</v>
      </c>
      <c r="M162" s="1379">
        <f t="shared" si="59"/>
        <v>0</v>
      </c>
      <c r="N162" s="1379">
        <f t="shared" si="59"/>
        <v>0</v>
      </c>
      <c r="O162" s="1379">
        <f t="shared" si="59"/>
        <v>0</v>
      </c>
      <c r="P162" s="1379">
        <f t="shared" si="59"/>
        <v>0</v>
      </c>
      <c r="Q162" s="1379">
        <f t="shared" si="59"/>
        <v>0</v>
      </c>
      <c r="R162" s="1379">
        <f t="shared" si="59"/>
        <v>0</v>
      </c>
      <c r="S162" s="1379">
        <f t="shared" si="59"/>
        <v>0</v>
      </c>
      <c r="T162" s="1379">
        <f t="shared" si="59"/>
        <v>0</v>
      </c>
      <c r="U162" s="1379">
        <f t="shared" si="59"/>
        <v>0</v>
      </c>
      <c r="V162" s="1379">
        <f t="shared" si="59"/>
        <v>0</v>
      </c>
      <c r="W162" s="1379">
        <f t="shared" si="59"/>
        <v>0</v>
      </c>
      <c r="X162" s="1379">
        <f t="shared" si="59"/>
        <v>0</v>
      </c>
      <c r="Y162" s="1379">
        <f t="shared" si="59"/>
        <v>0</v>
      </c>
      <c r="Z162" s="1379">
        <f t="shared" si="59"/>
        <v>0</v>
      </c>
      <c r="AA162" s="1379">
        <f t="shared" si="59"/>
        <v>0</v>
      </c>
      <c r="AB162" s="1192"/>
    </row>
    <row r="163" spans="2:28" ht="17.25" customHeight="1" outlineLevel="1" x14ac:dyDescent="0.25">
      <c r="B163" s="575" t="str">
        <f t="shared" si="57"/>
        <v>Interest Expense, commercial loan with public guarantees</v>
      </c>
      <c r="C163" s="38"/>
      <c r="D163" s="38"/>
      <c r="E163" s="210"/>
      <c r="F163" s="210"/>
      <c r="G163" s="1205"/>
      <c r="H163" s="1379">
        <f t="shared" si="58"/>
        <v>0</v>
      </c>
      <c r="I163" s="1379">
        <f t="shared" ref="I163:AA163" si="60">-I119</f>
        <v>0</v>
      </c>
      <c r="J163" s="1379">
        <f t="shared" si="60"/>
        <v>0</v>
      </c>
      <c r="K163" s="1379">
        <f t="shared" si="60"/>
        <v>0</v>
      </c>
      <c r="L163" s="1379">
        <f t="shared" si="60"/>
        <v>0</v>
      </c>
      <c r="M163" s="1379">
        <f t="shared" si="60"/>
        <v>0</v>
      </c>
      <c r="N163" s="1379">
        <f t="shared" si="60"/>
        <v>0</v>
      </c>
      <c r="O163" s="1379">
        <f t="shared" si="60"/>
        <v>0</v>
      </c>
      <c r="P163" s="1379">
        <f t="shared" si="60"/>
        <v>0</v>
      </c>
      <c r="Q163" s="1379">
        <f t="shared" si="60"/>
        <v>0</v>
      </c>
      <c r="R163" s="1379">
        <f t="shared" si="60"/>
        <v>0</v>
      </c>
      <c r="S163" s="1379">
        <f t="shared" si="60"/>
        <v>0</v>
      </c>
      <c r="T163" s="1379">
        <f t="shared" si="60"/>
        <v>0</v>
      </c>
      <c r="U163" s="1379">
        <f t="shared" si="60"/>
        <v>0</v>
      </c>
      <c r="V163" s="1379">
        <f t="shared" si="60"/>
        <v>0</v>
      </c>
      <c r="W163" s="1379">
        <f t="shared" si="60"/>
        <v>0</v>
      </c>
      <c r="X163" s="1379">
        <f t="shared" si="60"/>
        <v>0</v>
      </c>
      <c r="Y163" s="1379">
        <f t="shared" si="60"/>
        <v>0</v>
      </c>
      <c r="Z163" s="1379">
        <f t="shared" si="60"/>
        <v>0</v>
      </c>
      <c r="AA163" s="1379">
        <f t="shared" si="60"/>
        <v>0</v>
      </c>
      <c r="AB163" s="1192"/>
    </row>
    <row r="164" spans="2:28" ht="17.25" customHeight="1" outlineLevel="1" x14ac:dyDescent="0.25">
      <c r="B164" s="575" t="str">
        <f t="shared" si="57"/>
        <v>Interest Expense, commercial loan without public guarantees</v>
      </c>
      <c r="C164" s="38"/>
      <c r="D164" s="38"/>
      <c r="E164" s="210"/>
      <c r="F164" s="210"/>
      <c r="G164" s="1205"/>
      <c r="H164" s="1379">
        <f t="shared" si="58"/>
        <v>0</v>
      </c>
      <c r="I164" s="1379">
        <f t="shared" ref="I164:AA164" si="61">-I120</f>
        <v>0</v>
      </c>
      <c r="J164" s="1379">
        <f t="shared" si="61"/>
        <v>0</v>
      </c>
      <c r="K164" s="1379">
        <f t="shared" si="61"/>
        <v>0</v>
      </c>
      <c r="L164" s="1379">
        <f t="shared" si="61"/>
        <v>0</v>
      </c>
      <c r="M164" s="1379">
        <f t="shared" si="61"/>
        <v>0</v>
      </c>
      <c r="N164" s="1379">
        <f t="shared" si="61"/>
        <v>0</v>
      </c>
      <c r="O164" s="1379">
        <f t="shared" si="61"/>
        <v>0</v>
      </c>
      <c r="P164" s="1379">
        <f t="shared" si="61"/>
        <v>0</v>
      </c>
      <c r="Q164" s="1379">
        <f t="shared" si="61"/>
        <v>0</v>
      </c>
      <c r="R164" s="1379">
        <f t="shared" si="61"/>
        <v>0</v>
      </c>
      <c r="S164" s="1379">
        <f t="shared" si="61"/>
        <v>0</v>
      </c>
      <c r="T164" s="1379">
        <f t="shared" si="61"/>
        <v>0</v>
      </c>
      <c r="U164" s="1379">
        <f t="shared" si="61"/>
        <v>0</v>
      </c>
      <c r="V164" s="1379">
        <f t="shared" si="61"/>
        <v>0</v>
      </c>
      <c r="W164" s="1379">
        <f t="shared" si="61"/>
        <v>0</v>
      </c>
      <c r="X164" s="1379">
        <f t="shared" si="61"/>
        <v>0</v>
      </c>
      <c r="Y164" s="1379">
        <f t="shared" si="61"/>
        <v>0</v>
      </c>
      <c r="Z164" s="1379">
        <f t="shared" si="61"/>
        <v>0</v>
      </c>
      <c r="AA164" s="1379">
        <f t="shared" si="61"/>
        <v>0</v>
      </c>
      <c r="AB164" s="1192"/>
    </row>
    <row r="165" spans="2:28" ht="17.25" customHeight="1" outlineLevel="1" x14ac:dyDescent="0.25">
      <c r="B165" s="575" t="str">
        <f t="shared" si="57"/>
        <v xml:space="preserve">Front-end Fees </v>
      </c>
      <c r="C165" s="38"/>
      <c r="D165" s="38"/>
      <c r="E165" s="210"/>
      <c r="F165" s="210"/>
      <c r="G165" s="1205"/>
      <c r="H165" s="1379">
        <f t="shared" si="58"/>
        <v>0</v>
      </c>
      <c r="I165" s="1379">
        <f t="shared" ref="I165:AA165" si="62">-I121</f>
        <v>0</v>
      </c>
      <c r="J165" s="1379">
        <f t="shared" si="62"/>
        <v>0</v>
      </c>
      <c r="K165" s="1379">
        <f t="shared" si="62"/>
        <v>0</v>
      </c>
      <c r="L165" s="1379">
        <f t="shared" si="62"/>
        <v>0</v>
      </c>
      <c r="M165" s="1379">
        <f t="shared" si="62"/>
        <v>0</v>
      </c>
      <c r="N165" s="1379">
        <f t="shared" si="62"/>
        <v>0</v>
      </c>
      <c r="O165" s="1379">
        <f t="shared" si="62"/>
        <v>0</v>
      </c>
      <c r="P165" s="1379">
        <f t="shared" si="62"/>
        <v>0</v>
      </c>
      <c r="Q165" s="1379">
        <f t="shared" si="62"/>
        <v>0</v>
      </c>
      <c r="R165" s="1379">
        <f t="shared" si="62"/>
        <v>0</v>
      </c>
      <c r="S165" s="1379">
        <f t="shared" si="62"/>
        <v>0</v>
      </c>
      <c r="T165" s="1379">
        <f t="shared" si="62"/>
        <v>0</v>
      </c>
      <c r="U165" s="1379">
        <f t="shared" si="62"/>
        <v>0</v>
      </c>
      <c r="V165" s="1379">
        <f t="shared" si="62"/>
        <v>0</v>
      </c>
      <c r="W165" s="1379">
        <f t="shared" si="62"/>
        <v>0</v>
      </c>
      <c r="X165" s="1379">
        <f t="shared" si="62"/>
        <v>0</v>
      </c>
      <c r="Y165" s="1379">
        <f t="shared" si="62"/>
        <v>0</v>
      </c>
      <c r="Z165" s="1379">
        <f t="shared" si="62"/>
        <v>0</v>
      </c>
      <c r="AA165" s="1379">
        <f t="shared" si="62"/>
        <v>0</v>
      </c>
      <c r="AB165" s="1192"/>
    </row>
    <row r="166" spans="2:28" ht="17.25" customHeight="1" outlineLevel="1" x14ac:dyDescent="0.25">
      <c r="B166" s="575" t="str">
        <f t="shared" si="57"/>
        <v xml:space="preserve">Public Guarantee Fees </v>
      </c>
      <c r="C166" s="38"/>
      <c r="D166" s="38"/>
      <c r="E166" s="210"/>
      <c r="F166" s="210"/>
      <c r="G166" s="1205"/>
      <c r="H166" s="1379">
        <f t="shared" si="58"/>
        <v>0</v>
      </c>
      <c r="I166" s="1379">
        <f t="shared" ref="I166:AA166" si="63">-I122</f>
        <v>0</v>
      </c>
      <c r="J166" s="1379">
        <f t="shared" si="63"/>
        <v>0</v>
      </c>
      <c r="K166" s="1379">
        <f t="shared" si="63"/>
        <v>0</v>
      </c>
      <c r="L166" s="1379">
        <f t="shared" si="63"/>
        <v>0</v>
      </c>
      <c r="M166" s="1379">
        <f t="shared" si="63"/>
        <v>0</v>
      </c>
      <c r="N166" s="1379">
        <f t="shared" si="63"/>
        <v>0</v>
      </c>
      <c r="O166" s="1379">
        <f t="shared" si="63"/>
        <v>0</v>
      </c>
      <c r="P166" s="1379">
        <f t="shared" si="63"/>
        <v>0</v>
      </c>
      <c r="Q166" s="1379">
        <f t="shared" si="63"/>
        <v>0</v>
      </c>
      <c r="R166" s="1379">
        <f t="shared" si="63"/>
        <v>0</v>
      </c>
      <c r="S166" s="1379">
        <f t="shared" si="63"/>
        <v>0</v>
      </c>
      <c r="T166" s="1379">
        <f t="shared" si="63"/>
        <v>0</v>
      </c>
      <c r="U166" s="1379">
        <f t="shared" si="63"/>
        <v>0</v>
      </c>
      <c r="V166" s="1379">
        <f t="shared" si="63"/>
        <v>0</v>
      </c>
      <c r="W166" s="1379">
        <f t="shared" si="63"/>
        <v>0</v>
      </c>
      <c r="X166" s="1379">
        <f t="shared" si="63"/>
        <v>0</v>
      </c>
      <c r="Y166" s="1379">
        <f t="shared" si="63"/>
        <v>0</v>
      </c>
      <c r="Z166" s="1379">
        <f t="shared" si="63"/>
        <v>0</v>
      </c>
      <c r="AA166" s="1379">
        <f t="shared" si="63"/>
        <v>0</v>
      </c>
      <c r="AB166" s="1192"/>
    </row>
    <row r="167" spans="2:28" ht="17.25" customHeight="1" outlineLevel="1" x14ac:dyDescent="0.25">
      <c r="B167" s="575" t="str">
        <f t="shared" si="57"/>
        <v>Political Risk Insurance - Fees &amp; Annual Premium Payments</v>
      </c>
      <c r="C167" s="38"/>
      <c r="D167" s="38"/>
      <c r="E167" s="210"/>
      <c r="F167" s="210"/>
      <c r="G167" s="1205"/>
      <c r="H167" s="1379">
        <f t="shared" si="58"/>
        <v>0</v>
      </c>
      <c r="I167" s="1379">
        <f t="shared" ref="I167:AA167" si="64">-I123</f>
        <v>0</v>
      </c>
      <c r="J167" s="1379">
        <f t="shared" si="64"/>
        <v>0</v>
      </c>
      <c r="K167" s="1379">
        <f t="shared" si="64"/>
        <v>0</v>
      </c>
      <c r="L167" s="1379">
        <f t="shared" si="64"/>
        <v>0</v>
      </c>
      <c r="M167" s="1379">
        <f t="shared" si="64"/>
        <v>0</v>
      </c>
      <c r="N167" s="1379">
        <f t="shared" si="64"/>
        <v>0</v>
      </c>
      <c r="O167" s="1379">
        <f t="shared" si="64"/>
        <v>0</v>
      </c>
      <c r="P167" s="1379">
        <f t="shared" si="64"/>
        <v>0</v>
      </c>
      <c r="Q167" s="1379">
        <f t="shared" si="64"/>
        <v>0</v>
      </c>
      <c r="R167" s="1379">
        <f t="shared" si="64"/>
        <v>0</v>
      </c>
      <c r="S167" s="1379">
        <f t="shared" si="64"/>
        <v>0</v>
      </c>
      <c r="T167" s="1379">
        <f t="shared" si="64"/>
        <v>0</v>
      </c>
      <c r="U167" s="1379">
        <f t="shared" si="64"/>
        <v>0</v>
      </c>
      <c r="V167" s="1379">
        <f t="shared" si="64"/>
        <v>0</v>
      </c>
      <c r="W167" s="1379">
        <f t="shared" si="64"/>
        <v>0</v>
      </c>
      <c r="X167" s="1379">
        <f t="shared" si="64"/>
        <v>0</v>
      </c>
      <c r="Y167" s="1379">
        <f t="shared" si="64"/>
        <v>0</v>
      </c>
      <c r="Z167" s="1379">
        <f t="shared" si="64"/>
        <v>0</v>
      </c>
      <c r="AA167" s="1379">
        <f t="shared" si="64"/>
        <v>0</v>
      </c>
      <c r="AB167" s="1192"/>
    </row>
    <row r="168" spans="2:28" ht="9.75" customHeight="1" outlineLevel="1" x14ac:dyDescent="0.25">
      <c r="B168" s="575"/>
      <c r="C168" s="38"/>
      <c r="D168" s="38"/>
      <c r="E168" s="210"/>
      <c r="F168" s="210"/>
      <c r="G168" s="1205"/>
      <c r="H168" s="1379"/>
      <c r="I168" s="1379"/>
      <c r="J168" s="1379"/>
      <c r="K168" s="1379"/>
      <c r="L168" s="1379"/>
      <c r="M168" s="1379"/>
      <c r="N168" s="1379"/>
      <c r="O168" s="1379"/>
      <c r="P168" s="1379"/>
      <c r="Q168" s="1379"/>
      <c r="R168" s="1379"/>
      <c r="S168" s="1379"/>
      <c r="T168" s="1379"/>
      <c r="U168" s="1379"/>
      <c r="V168" s="1379"/>
      <c r="W168" s="1379"/>
      <c r="X168" s="1379"/>
      <c r="Y168" s="1379"/>
      <c r="Z168" s="1379"/>
      <c r="AA168" s="1379"/>
      <c r="AB168" s="1192"/>
    </row>
    <row r="169" spans="2:28" ht="17.25" customHeight="1" outlineLevel="1" x14ac:dyDescent="0.25">
      <c r="B169" s="582" t="s">
        <v>117</v>
      </c>
      <c r="C169" s="596"/>
      <c r="D169" s="596"/>
      <c r="E169" s="597"/>
      <c r="F169" s="597"/>
      <c r="G169" s="1209"/>
      <c r="H169" s="1380" t="e">
        <f>H160+(SUM(H162:H167))</f>
        <v>#VALUE!</v>
      </c>
      <c r="I169" s="1380" t="e">
        <f t="shared" ref="I169:AA169" si="65">I160+(SUM(I162:I167))</f>
        <v>#VALUE!</v>
      </c>
      <c r="J169" s="1380" t="e">
        <f t="shared" si="65"/>
        <v>#VALUE!</v>
      </c>
      <c r="K169" s="1380" t="e">
        <f t="shared" si="65"/>
        <v>#VALUE!</v>
      </c>
      <c r="L169" s="1380" t="e">
        <f t="shared" si="65"/>
        <v>#VALUE!</v>
      </c>
      <c r="M169" s="1380" t="e">
        <f t="shared" si="65"/>
        <v>#VALUE!</v>
      </c>
      <c r="N169" s="1380" t="e">
        <f t="shared" si="65"/>
        <v>#VALUE!</v>
      </c>
      <c r="O169" s="1380" t="e">
        <f t="shared" si="65"/>
        <v>#VALUE!</v>
      </c>
      <c r="P169" s="1380" t="e">
        <f t="shared" si="65"/>
        <v>#VALUE!</v>
      </c>
      <c r="Q169" s="1380" t="e">
        <f t="shared" si="65"/>
        <v>#VALUE!</v>
      </c>
      <c r="R169" s="1380" t="e">
        <f t="shared" si="65"/>
        <v>#VALUE!</v>
      </c>
      <c r="S169" s="1380" t="e">
        <f t="shared" si="65"/>
        <v>#VALUE!</v>
      </c>
      <c r="T169" s="1380" t="e">
        <f t="shared" si="65"/>
        <v>#VALUE!</v>
      </c>
      <c r="U169" s="1380" t="e">
        <f t="shared" si="65"/>
        <v>#VALUE!</v>
      </c>
      <c r="V169" s="1380" t="e">
        <f t="shared" si="65"/>
        <v>#VALUE!</v>
      </c>
      <c r="W169" s="1380" t="e">
        <f t="shared" si="65"/>
        <v>#VALUE!</v>
      </c>
      <c r="X169" s="1380" t="e">
        <f t="shared" si="65"/>
        <v>#VALUE!</v>
      </c>
      <c r="Y169" s="1380" t="e">
        <f t="shared" si="65"/>
        <v>#VALUE!</v>
      </c>
      <c r="Z169" s="1380" t="e">
        <f t="shared" si="65"/>
        <v>#VALUE!</v>
      </c>
      <c r="AA169" s="1380" t="e">
        <f t="shared" si="65"/>
        <v>#VALUE!</v>
      </c>
      <c r="AB169" s="1192"/>
    </row>
    <row r="170" spans="2:28" ht="6.75" customHeight="1" outlineLevel="1" x14ac:dyDescent="0.25">
      <c r="B170" s="575"/>
      <c r="C170" s="38"/>
      <c r="D170" s="38"/>
      <c r="E170" s="210"/>
      <c r="F170" s="210"/>
      <c r="G170" s="1205"/>
      <c r="H170" s="1379"/>
      <c r="I170" s="1379"/>
      <c r="J170" s="1379"/>
      <c r="K170" s="1379"/>
      <c r="L170" s="1379"/>
      <c r="M170" s="1379"/>
      <c r="N170" s="1379"/>
      <c r="O170" s="1379"/>
      <c r="P170" s="1379"/>
      <c r="Q170" s="1379"/>
      <c r="R170" s="1379"/>
      <c r="S170" s="1379"/>
      <c r="T170" s="1379"/>
      <c r="U170" s="1379"/>
      <c r="V170" s="1379"/>
      <c r="W170" s="1379"/>
      <c r="X170" s="1379"/>
      <c r="Y170" s="1379"/>
      <c r="Z170" s="1379"/>
      <c r="AA170" s="1379"/>
      <c r="AB170" s="1192"/>
    </row>
    <row r="171" spans="2:28" ht="17.25" customHeight="1" outlineLevel="1" x14ac:dyDescent="0.25">
      <c r="B171" s="575" t="s">
        <v>118</v>
      </c>
      <c r="C171" s="38"/>
      <c r="D171" s="38"/>
      <c r="E171" s="210"/>
      <c r="F171" s="210"/>
      <c r="G171" s="1205"/>
      <c r="H171" s="1379" t="e">
        <f>IF(H169&lt;0,(-H169*'III. Inputs, Renewable Energy'!$U$18),(-'V. LCOE, Ren. En. Generation'!H169*'III. Inputs, Renewable Energy'!$U$18))</f>
        <v>#VALUE!</v>
      </c>
      <c r="I171" s="1379" t="e">
        <f>IF(I169&lt;0,(-I169*'III. Inputs, Renewable Energy'!$U$18),(-'V. LCOE, Ren. En. Generation'!I169*'III. Inputs, Renewable Energy'!$U$18))</f>
        <v>#VALUE!</v>
      </c>
      <c r="J171" s="1379" t="e">
        <f>IF(J169&lt;0,(-J169*'III. Inputs, Renewable Energy'!$U$18),(-'V. LCOE, Ren. En. Generation'!J169*'III. Inputs, Renewable Energy'!$U$18))</f>
        <v>#VALUE!</v>
      </c>
      <c r="K171" s="1379" t="e">
        <f>IF(K169&lt;0,(-K169*'III. Inputs, Renewable Energy'!$U$18),(-'V. LCOE, Ren. En. Generation'!K169*'III. Inputs, Renewable Energy'!$U$18))</f>
        <v>#VALUE!</v>
      </c>
      <c r="L171" s="1379" t="e">
        <f>IF(L169&lt;0,(-L169*'III. Inputs, Renewable Energy'!$U$18),(-'V. LCOE, Ren. En. Generation'!L169*'III. Inputs, Renewable Energy'!$U$18))</f>
        <v>#VALUE!</v>
      </c>
      <c r="M171" s="1379" t="e">
        <f>IF(M169&lt;0,(-M169*'III. Inputs, Renewable Energy'!$U$18),(-'V. LCOE, Ren. En. Generation'!M169*'III. Inputs, Renewable Energy'!$U$18))</f>
        <v>#VALUE!</v>
      </c>
      <c r="N171" s="1379" t="e">
        <f>IF(N169&lt;0,(-N169*'III. Inputs, Renewable Energy'!$U$18),(-'V. LCOE, Ren. En. Generation'!N169*'III. Inputs, Renewable Energy'!$U$18))</f>
        <v>#VALUE!</v>
      </c>
      <c r="O171" s="1379" t="e">
        <f>IF(O169&lt;0,(-O169*'III. Inputs, Renewable Energy'!$U$18),(-'V. LCOE, Ren. En. Generation'!O169*'III. Inputs, Renewable Energy'!$U$18))</f>
        <v>#VALUE!</v>
      </c>
      <c r="P171" s="1379" t="e">
        <f>IF(P169&lt;0,(-P169*'III. Inputs, Renewable Energy'!$U$18),(-'V. LCOE, Ren. En. Generation'!P169*'III. Inputs, Renewable Energy'!$U$18))</f>
        <v>#VALUE!</v>
      </c>
      <c r="Q171" s="1379" t="e">
        <f>IF(Q169&lt;0,(-Q169*'III. Inputs, Renewable Energy'!$U$18),(-'V. LCOE, Ren. En. Generation'!Q169*'III. Inputs, Renewable Energy'!$U$18))</f>
        <v>#VALUE!</v>
      </c>
      <c r="R171" s="1379" t="e">
        <f>IF(R169&lt;0,(-R169*'III. Inputs, Renewable Energy'!$U$18),(-'V. LCOE, Ren. En. Generation'!R169*'III. Inputs, Renewable Energy'!$U$18))</f>
        <v>#VALUE!</v>
      </c>
      <c r="S171" s="1379" t="e">
        <f>IF(S169&lt;0,(-S169*'III. Inputs, Renewable Energy'!$U$18),(-'V. LCOE, Ren. En. Generation'!S169*'III. Inputs, Renewable Energy'!$U$18))</f>
        <v>#VALUE!</v>
      </c>
      <c r="T171" s="1379" t="e">
        <f>IF(T169&lt;0,(-T169*'III. Inputs, Renewable Energy'!$U$18),(-'V. LCOE, Ren. En. Generation'!T169*'III. Inputs, Renewable Energy'!$U$18))</f>
        <v>#VALUE!</v>
      </c>
      <c r="U171" s="1379" t="e">
        <f>IF(U169&lt;0,(-U169*'III. Inputs, Renewable Energy'!$U$18),(-'V. LCOE, Ren. En. Generation'!U169*'III. Inputs, Renewable Energy'!$U$18))</f>
        <v>#VALUE!</v>
      </c>
      <c r="V171" s="1379" t="e">
        <f>IF(V169&lt;0,(-V169*'III. Inputs, Renewable Energy'!$U$18),(-'V. LCOE, Ren. En. Generation'!V169*'III. Inputs, Renewable Energy'!$U$18))</f>
        <v>#VALUE!</v>
      </c>
      <c r="W171" s="1379" t="e">
        <f>IF(W169&lt;0,(-W169*'III. Inputs, Renewable Energy'!$U$18),(-'V. LCOE, Ren. En. Generation'!W169*'III. Inputs, Renewable Energy'!$U$18))</f>
        <v>#VALUE!</v>
      </c>
      <c r="X171" s="1379" t="e">
        <f>IF(X169&lt;0,(-X169*'III. Inputs, Renewable Energy'!$U$18),(-'V. LCOE, Ren. En. Generation'!X169*'III. Inputs, Renewable Energy'!$U$18))</f>
        <v>#VALUE!</v>
      </c>
      <c r="Y171" s="1379" t="e">
        <f>IF(Y169&lt;0,(-Y169*'III. Inputs, Renewable Energy'!$U$18),(-'V. LCOE, Ren. En. Generation'!Y169*'III. Inputs, Renewable Energy'!$U$18))</f>
        <v>#VALUE!</v>
      </c>
      <c r="Z171" s="1379" t="e">
        <f>IF(Z169&lt;0,(-Z169*'III. Inputs, Renewable Energy'!$U$18),(-'V. LCOE, Ren. En. Generation'!Z169*'III. Inputs, Renewable Energy'!$U$18))</f>
        <v>#VALUE!</v>
      </c>
      <c r="AA171" s="1379" t="e">
        <f>IF(AA169&lt;0,(-AA169*'III. Inputs, Renewable Energy'!$U$18),(-'V. LCOE, Ren. En. Generation'!AA169*'III. Inputs, Renewable Energy'!$U$18))</f>
        <v>#VALUE!</v>
      </c>
      <c r="AB171" s="1192"/>
    </row>
    <row r="172" spans="2:28" ht="6.75" customHeight="1" outlineLevel="1" x14ac:dyDescent="0.25">
      <c r="B172" s="583"/>
      <c r="C172" s="39"/>
      <c r="D172" s="39"/>
      <c r="E172" s="212"/>
      <c r="F172" s="212"/>
      <c r="G172" s="1207"/>
      <c r="H172" s="1381"/>
      <c r="I172" s="1381"/>
      <c r="J172" s="1381"/>
      <c r="K172" s="1381"/>
      <c r="L172" s="1381"/>
      <c r="M172" s="1381"/>
      <c r="N172" s="1381"/>
      <c r="O172" s="1381"/>
      <c r="P172" s="1381"/>
      <c r="Q172" s="1381"/>
      <c r="R172" s="1381"/>
      <c r="S172" s="1381"/>
      <c r="T172" s="1381"/>
      <c r="U172" s="1381"/>
      <c r="V172" s="1381"/>
      <c r="W172" s="1381"/>
      <c r="X172" s="1381"/>
      <c r="Y172" s="1381"/>
      <c r="Z172" s="1381"/>
      <c r="AA172" s="1381"/>
      <c r="AB172" s="1192"/>
    </row>
    <row r="173" spans="2:28" ht="17.25" customHeight="1" outlineLevel="1" x14ac:dyDescent="0.25">
      <c r="B173" s="582" t="s">
        <v>119</v>
      </c>
      <c r="C173" s="596"/>
      <c r="D173" s="596"/>
      <c r="E173" s="597"/>
      <c r="F173" s="597"/>
      <c r="G173" s="1209"/>
      <c r="H173" s="1380" t="e">
        <f>H169+H171</f>
        <v>#VALUE!</v>
      </c>
      <c r="I173" s="1380" t="e">
        <f t="shared" ref="I173:AA173" si="66">I169+I171</f>
        <v>#VALUE!</v>
      </c>
      <c r="J173" s="1380" t="e">
        <f t="shared" si="66"/>
        <v>#VALUE!</v>
      </c>
      <c r="K173" s="1380" t="e">
        <f t="shared" si="66"/>
        <v>#VALUE!</v>
      </c>
      <c r="L173" s="1380" t="e">
        <f t="shared" si="66"/>
        <v>#VALUE!</v>
      </c>
      <c r="M173" s="1380" t="e">
        <f t="shared" si="66"/>
        <v>#VALUE!</v>
      </c>
      <c r="N173" s="1380" t="e">
        <f t="shared" si="66"/>
        <v>#VALUE!</v>
      </c>
      <c r="O173" s="1380" t="e">
        <f t="shared" si="66"/>
        <v>#VALUE!</v>
      </c>
      <c r="P173" s="1380" t="e">
        <f t="shared" si="66"/>
        <v>#VALUE!</v>
      </c>
      <c r="Q173" s="1380" t="e">
        <f t="shared" si="66"/>
        <v>#VALUE!</v>
      </c>
      <c r="R173" s="1380" t="e">
        <f t="shared" si="66"/>
        <v>#VALUE!</v>
      </c>
      <c r="S173" s="1380" t="e">
        <f t="shared" si="66"/>
        <v>#VALUE!</v>
      </c>
      <c r="T173" s="1380" t="e">
        <f t="shared" si="66"/>
        <v>#VALUE!</v>
      </c>
      <c r="U173" s="1380" t="e">
        <f t="shared" si="66"/>
        <v>#VALUE!</v>
      </c>
      <c r="V173" s="1380" t="e">
        <f t="shared" si="66"/>
        <v>#VALUE!</v>
      </c>
      <c r="W173" s="1380" t="e">
        <f t="shared" si="66"/>
        <v>#VALUE!</v>
      </c>
      <c r="X173" s="1380" t="e">
        <f t="shared" si="66"/>
        <v>#VALUE!</v>
      </c>
      <c r="Y173" s="1380" t="e">
        <f t="shared" si="66"/>
        <v>#VALUE!</v>
      </c>
      <c r="Z173" s="1380" t="e">
        <f t="shared" si="66"/>
        <v>#VALUE!</v>
      </c>
      <c r="AA173" s="1380" t="e">
        <f t="shared" si="66"/>
        <v>#VALUE!</v>
      </c>
      <c r="AB173" s="1192"/>
    </row>
    <row r="174" spans="2:28" ht="17.25" customHeight="1" outlineLevel="1" x14ac:dyDescent="0.25">
      <c r="B174" s="575"/>
      <c r="C174" s="38"/>
      <c r="D174" s="38"/>
      <c r="E174" s="210"/>
      <c r="F174" s="210"/>
      <c r="G174" s="1205"/>
      <c r="H174" s="1206"/>
      <c r="I174" s="1206"/>
      <c r="J174" s="1206"/>
      <c r="K174" s="1206"/>
      <c r="L174" s="1206"/>
      <c r="M174" s="1206"/>
      <c r="N174" s="1206"/>
      <c r="O174" s="1206"/>
      <c r="P174" s="1206"/>
      <c r="Q174" s="1206"/>
      <c r="R174" s="1206"/>
      <c r="S174" s="1206"/>
      <c r="T174" s="1206"/>
      <c r="U174" s="1206"/>
      <c r="V174" s="1206"/>
      <c r="W174" s="1206"/>
      <c r="X174" s="1206"/>
      <c r="Y174" s="1206"/>
      <c r="Z174" s="1206"/>
      <c r="AA174" s="1206"/>
      <c r="AB174" s="1192"/>
    </row>
    <row r="175" spans="2:28" ht="17.25" customHeight="1" outlineLevel="1" x14ac:dyDescent="0.25">
      <c r="B175" s="575" t="s">
        <v>120</v>
      </c>
      <c r="C175" s="38"/>
      <c r="D175" s="38"/>
      <c r="E175" s="210"/>
      <c r="F175" s="210" t="s">
        <v>22</v>
      </c>
      <c r="G175" s="1369">
        <f>-('III. Inputs, Renewable Energy'!$U$14*'III. Inputs, Renewable Energy'!$U$15)</f>
        <v>0</v>
      </c>
      <c r="H175" s="1206"/>
      <c r="I175" s="1206"/>
      <c r="J175" s="1206"/>
      <c r="K175" s="1206"/>
      <c r="L175" s="1206"/>
      <c r="M175" s="1206"/>
      <c r="N175" s="1206"/>
      <c r="O175" s="1206"/>
      <c r="P175" s="1206"/>
      <c r="Q175" s="1206"/>
      <c r="R175" s="1206"/>
      <c r="S175" s="1206"/>
      <c r="T175" s="1206"/>
      <c r="U175" s="1206"/>
      <c r="V175" s="1206"/>
      <c r="W175" s="1206"/>
      <c r="X175" s="1206"/>
      <c r="Y175" s="1206"/>
      <c r="Z175" s="1206"/>
      <c r="AA175" s="1206"/>
      <c r="AB175" s="1192"/>
    </row>
    <row r="176" spans="2:28" ht="17.25" customHeight="1" outlineLevel="1" x14ac:dyDescent="0.25">
      <c r="B176" s="583" t="s">
        <v>121</v>
      </c>
      <c r="C176" s="39"/>
      <c r="D176" s="39"/>
      <c r="E176" s="212"/>
      <c r="F176" s="212" t="s">
        <v>22</v>
      </c>
      <c r="G176" s="1373">
        <f>('III. Inputs, Renewable Energy'!$U$14*'III. Inputs, Renewable Energy'!$U$15*'III. Inputs, Renewable Energy'!$V$29)</f>
        <v>0</v>
      </c>
      <c r="H176" s="1208"/>
      <c r="I176" s="1208"/>
      <c r="J176" s="1208"/>
      <c r="K176" s="1208"/>
      <c r="L176" s="1208"/>
      <c r="M176" s="1208"/>
      <c r="N176" s="1208"/>
      <c r="O176" s="1208"/>
      <c r="P176" s="1208"/>
      <c r="Q176" s="1208"/>
      <c r="R176" s="1208"/>
      <c r="S176" s="1208"/>
      <c r="T176" s="1208"/>
      <c r="U176" s="1208"/>
      <c r="V176" s="1208"/>
      <c r="W176" s="1208"/>
      <c r="X176" s="1208"/>
      <c r="Y176" s="1208"/>
      <c r="Z176" s="1208"/>
      <c r="AA176" s="1208"/>
      <c r="AB176" s="1192"/>
    </row>
    <row r="177" spans="2:28" ht="17.25" customHeight="1" outlineLevel="1" x14ac:dyDescent="0.25">
      <c r="B177" s="575" t="s">
        <v>122</v>
      </c>
      <c r="C177" s="38"/>
      <c r="D177" s="38"/>
      <c r="E177" s="210"/>
      <c r="F177" s="210" t="s">
        <v>22</v>
      </c>
      <c r="G177" s="1369">
        <f>G175+G176</f>
        <v>0</v>
      </c>
      <c r="H177" s="1196"/>
      <c r="I177" s="1196"/>
      <c r="J177" s="1196"/>
      <c r="K177" s="1196"/>
      <c r="L177" s="1196"/>
      <c r="M177" s="1196"/>
      <c r="N177" s="1196"/>
      <c r="O177" s="1196"/>
      <c r="P177" s="1196"/>
      <c r="Q177" s="1196"/>
      <c r="R177" s="1196"/>
      <c r="S177" s="1196"/>
      <c r="T177" s="1196"/>
      <c r="U177" s="1196"/>
      <c r="V177" s="1196"/>
      <c r="W177" s="1196"/>
      <c r="X177" s="1196"/>
      <c r="Y177" s="1196"/>
      <c r="Z177" s="1196"/>
      <c r="AA177" s="1196"/>
      <c r="AB177" s="1192"/>
    </row>
    <row r="178" spans="2:28" ht="10.5" customHeight="1" outlineLevel="1" x14ac:dyDescent="0.25">
      <c r="B178" s="575"/>
      <c r="C178" s="38"/>
      <c r="D178" s="38"/>
      <c r="E178" s="210"/>
      <c r="F178" s="210"/>
      <c r="G178" s="1196"/>
      <c r="H178" s="1196"/>
      <c r="I178" s="1196"/>
      <c r="J178" s="1196"/>
      <c r="K178" s="1196"/>
      <c r="L178" s="1196"/>
      <c r="M178" s="1196"/>
      <c r="N178" s="1196"/>
      <c r="O178" s="1196"/>
      <c r="P178" s="1196"/>
      <c r="Q178" s="1196"/>
      <c r="R178" s="1196"/>
      <c r="S178" s="1196"/>
      <c r="T178" s="1196"/>
      <c r="U178" s="1196"/>
      <c r="V178" s="1196"/>
      <c r="W178" s="1196"/>
      <c r="X178" s="1196"/>
      <c r="Y178" s="1196"/>
      <c r="Z178" s="1196"/>
      <c r="AA178" s="1196"/>
      <c r="AB178" s="1192"/>
    </row>
    <row r="179" spans="2:28" ht="6.75" customHeight="1" outlineLevel="1" x14ac:dyDescent="0.25">
      <c r="B179" s="575"/>
      <c r="C179" s="38"/>
      <c r="D179" s="38"/>
      <c r="E179" s="210"/>
      <c r="F179" s="210"/>
      <c r="G179" s="1196"/>
      <c r="H179" s="1196"/>
      <c r="I179" s="1196"/>
      <c r="J179" s="1196"/>
      <c r="K179" s="1196"/>
      <c r="L179" s="1196"/>
      <c r="M179" s="1196"/>
      <c r="N179" s="1196"/>
      <c r="O179" s="1196"/>
      <c r="P179" s="1196"/>
      <c r="Q179" s="1196"/>
      <c r="R179" s="1196"/>
      <c r="S179" s="1196"/>
      <c r="T179" s="1196"/>
      <c r="U179" s="1196"/>
      <c r="V179" s="1196"/>
      <c r="W179" s="1196"/>
      <c r="X179" s="1196"/>
      <c r="Y179" s="1196"/>
      <c r="Z179" s="1196"/>
      <c r="AA179" s="1196"/>
      <c r="AB179" s="1192"/>
    </row>
    <row r="180" spans="2:28" ht="17.25" customHeight="1" outlineLevel="1" x14ac:dyDescent="0.25">
      <c r="B180" s="575" t="s">
        <v>123</v>
      </c>
      <c r="C180" s="38"/>
      <c r="D180" s="38"/>
      <c r="E180" s="210"/>
      <c r="F180" s="210"/>
      <c r="G180" s="1196"/>
      <c r="H180" s="1369" t="e">
        <f>H173</f>
        <v>#VALUE!</v>
      </c>
      <c r="I180" s="1369" t="e">
        <f t="shared" ref="I180:AA180" si="67">I173</f>
        <v>#VALUE!</v>
      </c>
      <c r="J180" s="1369" t="e">
        <f t="shared" si="67"/>
        <v>#VALUE!</v>
      </c>
      <c r="K180" s="1369" t="e">
        <f t="shared" si="67"/>
        <v>#VALUE!</v>
      </c>
      <c r="L180" s="1369" t="e">
        <f t="shared" si="67"/>
        <v>#VALUE!</v>
      </c>
      <c r="M180" s="1369" t="e">
        <f t="shared" si="67"/>
        <v>#VALUE!</v>
      </c>
      <c r="N180" s="1369" t="e">
        <f t="shared" si="67"/>
        <v>#VALUE!</v>
      </c>
      <c r="O180" s="1369" t="e">
        <f t="shared" si="67"/>
        <v>#VALUE!</v>
      </c>
      <c r="P180" s="1369" t="e">
        <f t="shared" si="67"/>
        <v>#VALUE!</v>
      </c>
      <c r="Q180" s="1369" t="e">
        <f t="shared" si="67"/>
        <v>#VALUE!</v>
      </c>
      <c r="R180" s="1369" t="e">
        <f t="shared" si="67"/>
        <v>#VALUE!</v>
      </c>
      <c r="S180" s="1369" t="e">
        <f t="shared" si="67"/>
        <v>#VALUE!</v>
      </c>
      <c r="T180" s="1369" t="e">
        <f t="shared" si="67"/>
        <v>#VALUE!</v>
      </c>
      <c r="U180" s="1369" t="e">
        <f t="shared" si="67"/>
        <v>#VALUE!</v>
      </c>
      <c r="V180" s="1369" t="e">
        <f t="shared" si="67"/>
        <v>#VALUE!</v>
      </c>
      <c r="W180" s="1369" t="e">
        <f t="shared" si="67"/>
        <v>#VALUE!</v>
      </c>
      <c r="X180" s="1369" t="e">
        <f t="shared" si="67"/>
        <v>#VALUE!</v>
      </c>
      <c r="Y180" s="1369" t="e">
        <f t="shared" si="67"/>
        <v>#VALUE!</v>
      </c>
      <c r="Z180" s="1369" t="e">
        <f t="shared" si="67"/>
        <v>#VALUE!</v>
      </c>
      <c r="AA180" s="1369" t="e">
        <f t="shared" si="67"/>
        <v>#VALUE!</v>
      </c>
      <c r="AB180" s="1192"/>
    </row>
    <row r="181" spans="2:28" ht="17.25" customHeight="1" outlineLevel="1" x14ac:dyDescent="0.25">
      <c r="B181" s="575" t="s">
        <v>124</v>
      </c>
      <c r="C181" s="38"/>
      <c r="D181" s="38"/>
      <c r="E181" s="210"/>
      <c r="F181" s="210" t="s">
        <v>22</v>
      </c>
      <c r="G181" s="1196"/>
      <c r="H181" s="1369" t="e">
        <f t="shared" ref="H181:AA181" si="68">-H158</f>
        <v>#VALUE!</v>
      </c>
      <c r="I181" s="1369" t="e">
        <f t="shared" si="68"/>
        <v>#VALUE!</v>
      </c>
      <c r="J181" s="1369" t="e">
        <f t="shared" si="68"/>
        <v>#VALUE!</v>
      </c>
      <c r="K181" s="1369" t="e">
        <f t="shared" si="68"/>
        <v>#VALUE!</v>
      </c>
      <c r="L181" s="1369" t="e">
        <f t="shared" si="68"/>
        <v>#VALUE!</v>
      </c>
      <c r="M181" s="1369" t="e">
        <f t="shared" si="68"/>
        <v>#VALUE!</v>
      </c>
      <c r="N181" s="1369" t="e">
        <f t="shared" si="68"/>
        <v>#VALUE!</v>
      </c>
      <c r="O181" s="1369" t="e">
        <f t="shared" si="68"/>
        <v>#VALUE!</v>
      </c>
      <c r="P181" s="1369" t="e">
        <f t="shared" si="68"/>
        <v>#VALUE!</v>
      </c>
      <c r="Q181" s="1369" t="e">
        <f t="shared" si="68"/>
        <v>#VALUE!</v>
      </c>
      <c r="R181" s="1369" t="e">
        <f t="shared" si="68"/>
        <v>#VALUE!</v>
      </c>
      <c r="S181" s="1369" t="e">
        <f t="shared" si="68"/>
        <v>#VALUE!</v>
      </c>
      <c r="T181" s="1369" t="e">
        <f t="shared" si="68"/>
        <v>#VALUE!</v>
      </c>
      <c r="U181" s="1369" t="e">
        <f t="shared" si="68"/>
        <v>#VALUE!</v>
      </c>
      <c r="V181" s="1369" t="e">
        <f t="shared" si="68"/>
        <v>#VALUE!</v>
      </c>
      <c r="W181" s="1369" t="e">
        <f t="shared" si="68"/>
        <v>#VALUE!</v>
      </c>
      <c r="X181" s="1369" t="e">
        <f t="shared" si="68"/>
        <v>#VALUE!</v>
      </c>
      <c r="Y181" s="1369" t="e">
        <f t="shared" si="68"/>
        <v>#VALUE!</v>
      </c>
      <c r="Z181" s="1369" t="e">
        <f t="shared" si="68"/>
        <v>#VALUE!</v>
      </c>
      <c r="AA181" s="1369" t="e">
        <f t="shared" si="68"/>
        <v>#VALUE!</v>
      </c>
      <c r="AB181" s="1192"/>
    </row>
    <row r="182" spans="2:28" ht="17.25" customHeight="1" outlineLevel="1" x14ac:dyDescent="0.25">
      <c r="B182" s="575"/>
      <c r="C182" s="38"/>
      <c r="D182" s="38"/>
      <c r="E182" s="210"/>
      <c r="F182" s="210"/>
      <c r="G182" s="1196"/>
      <c r="H182" s="1196"/>
      <c r="I182" s="1196"/>
      <c r="J182" s="1196"/>
      <c r="K182" s="1196"/>
      <c r="L182" s="1196"/>
      <c r="M182" s="1196"/>
      <c r="N182" s="1196"/>
      <c r="O182" s="1196"/>
      <c r="P182" s="1196"/>
      <c r="Q182" s="1196"/>
      <c r="R182" s="1196"/>
      <c r="S182" s="1196"/>
      <c r="T182" s="1196"/>
      <c r="U182" s="1196"/>
      <c r="V182" s="1196"/>
      <c r="W182" s="1196"/>
      <c r="X182" s="1196"/>
      <c r="Y182" s="1196"/>
      <c r="Z182" s="1196"/>
      <c r="AA182" s="1196"/>
      <c r="AB182" s="1192"/>
    </row>
    <row r="183" spans="2:28" ht="17.25" customHeight="1" outlineLevel="1" x14ac:dyDescent="0.25">
      <c r="B183" s="575" t="s">
        <v>125</v>
      </c>
      <c r="C183" s="38"/>
      <c r="D183" s="38"/>
      <c r="E183" s="210"/>
      <c r="F183" s="210" t="s">
        <v>22</v>
      </c>
      <c r="G183" s="1196"/>
      <c r="H183" s="1196"/>
      <c r="I183" s="1196"/>
      <c r="J183" s="1196"/>
      <c r="K183" s="1196"/>
      <c r="L183" s="1196"/>
      <c r="M183" s="1196"/>
      <c r="N183" s="1196"/>
      <c r="O183" s="1196"/>
      <c r="P183" s="1196"/>
      <c r="Q183" s="1196"/>
      <c r="R183" s="1196"/>
      <c r="S183" s="1196"/>
      <c r="T183" s="1196"/>
      <c r="U183" s="1196"/>
      <c r="V183" s="1196"/>
      <c r="W183" s="1196"/>
      <c r="X183" s="1196"/>
      <c r="Y183" s="1196"/>
      <c r="Z183" s="1196"/>
      <c r="AA183" s="1196"/>
      <c r="AB183" s="1192"/>
    </row>
    <row r="184" spans="2:28" ht="17.25" customHeight="1" outlineLevel="1" x14ac:dyDescent="0.25">
      <c r="B184" s="575" t="s">
        <v>126</v>
      </c>
      <c r="C184" s="38"/>
      <c r="D184" s="38"/>
      <c r="E184" s="210"/>
      <c r="F184" s="210" t="s">
        <v>22</v>
      </c>
      <c r="G184" s="1196"/>
      <c r="H184" s="1196"/>
      <c r="I184" s="1196"/>
      <c r="J184" s="1196"/>
      <c r="K184" s="1196"/>
      <c r="L184" s="1196"/>
      <c r="M184" s="1196"/>
      <c r="N184" s="1196"/>
      <c r="O184" s="1196"/>
      <c r="P184" s="1196"/>
      <c r="Q184" s="1196"/>
      <c r="R184" s="1196"/>
      <c r="S184" s="1196"/>
      <c r="T184" s="1196"/>
      <c r="U184" s="1196"/>
      <c r="V184" s="1196"/>
      <c r="W184" s="1196"/>
      <c r="X184" s="1196"/>
      <c r="Y184" s="1196"/>
      <c r="Z184" s="1196"/>
      <c r="AA184" s="1196"/>
      <c r="AB184" s="1192"/>
    </row>
    <row r="185" spans="2:28" ht="17.25" customHeight="1" outlineLevel="1" x14ac:dyDescent="0.25">
      <c r="B185" s="575" t="s">
        <v>127</v>
      </c>
      <c r="C185" s="38"/>
      <c r="D185" s="38"/>
      <c r="E185" s="210"/>
      <c r="F185" s="210" t="s">
        <v>22</v>
      </c>
      <c r="G185" s="1369"/>
      <c r="H185" s="1369">
        <f>-(H283+H304+H325)</f>
        <v>0</v>
      </c>
      <c r="I185" s="1369">
        <f t="shared" ref="I185:AA185" si="69">-(I283+I304+I325)</f>
        <v>0</v>
      </c>
      <c r="J185" s="1369">
        <f t="shared" si="69"/>
        <v>0</v>
      </c>
      <c r="K185" s="1369">
        <f t="shared" si="69"/>
        <v>0</v>
      </c>
      <c r="L185" s="1369">
        <f t="shared" si="69"/>
        <v>0</v>
      </c>
      <c r="M185" s="1369">
        <f t="shared" si="69"/>
        <v>0</v>
      </c>
      <c r="N185" s="1369">
        <f t="shared" si="69"/>
        <v>0</v>
      </c>
      <c r="O185" s="1369">
        <f t="shared" si="69"/>
        <v>0</v>
      </c>
      <c r="P185" s="1369">
        <f t="shared" si="69"/>
        <v>0</v>
      </c>
      <c r="Q185" s="1369">
        <f t="shared" si="69"/>
        <v>0</v>
      </c>
      <c r="R185" s="1369">
        <f t="shared" si="69"/>
        <v>0</v>
      </c>
      <c r="S185" s="1369">
        <f t="shared" si="69"/>
        <v>0</v>
      </c>
      <c r="T185" s="1369">
        <f t="shared" si="69"/>
        <v>0</v>
      </c>
      <c r="U185" s="1369">
        <f t="shared" si="69"/>
        <v>0</v>
      </c>
      <c r="V185" s="1369">
        <f t="shared" si="69"/>
        <v>0</v>
      </c>
      <c r="W185" s="1369">
        <f t="shared" si="69"/>
        <v>0</v>
      </c>
      <c r="X185" s="1369">
        <f t="shared" si="69"/>
        <v>0</v>
      </c>
      <c r="Y185" s="1369">
        <f t="shared" si="69"/>
        <v>0</v>
      </c>
      <c r="Z185" s="1369">
        <f t="shared" si="69"/>
        <v>0</v>
      </c>
      <c r="AA185" s="1369">
        <f t="shared" si="69"/>
        <v>0</v>
      </c>
      <c r="AB185" s="1192"/>
    </row>
    <row r="186" spans="2:28" ht="17.25" customHeight="1" outlineLevel="1" x14ac:dyDescent="0.25">
      <c r="B186" s="583" t="s">
        <v>128</v>
      </c>
      <c r="C186" s="39"/>
      <c r="D186" s="39"/>
      <c r="E186" s="212"/>
      <c r="F186" s="212" t="s">
        <v>22</v>
      </c>
      <c r="G186" s="1373"/>
      <c r="H186" s="1373"/>
      <c r="I186" s="1373"/>
      <c r="J186" s="1373"/>
      <c r="K186" s="1373"/>
      <c r="L186" s="1373"/>
      <c r="M186" s="1373"/>
      <c r="N186" s="1373"/>
      <c r="O186" s="1373"/>
      <c r="P186" s="1373"/>
      <c r="Q186" s="1373"/>
      <c r="R186" s="1373"/>
      <c r="S186" s="1373"/>
      <c r="T186" s="1373"/>
      <c r="U186" s="1373"/>
      <c r="V186" s="1373"/>
      <c r="W186" s="1373"/>
      <c r="X186" s="1373"/>
      <c r="Y186" s="1373"/>
      <c r="Z186" s="1373"/>
      <c r="AA186" s="1373"/>
      <c r="AB186" s="1192"/>
    </row>
    <row r="187" spans="2:28" ht="17.25" customHeight="1" outlineLevel="1" x14ac:dyDescent="0.25">
      <c r="B187" s="575" t="s">
        <v>129</v>
      </c>
      <c r="C187" s="38"/>
      <c r="D187" s="38"/>
      <c r="E187" s="210"/>
      <c r="F187" s="210" t="s">
        <v>22</v>
      </c>
      <c r="G187" s="1369">
        <f>G177</f>
        <v>0</v>
      </c>
      <c r="H187" s="1369" t="e">
        <f>H180+H181+H185</f>
        <v>#VALUE!</v>
      </c>
      <c r="I187" s="1369" t="e">
        <f t="shared" ref="I187:AA187" si="70">I180+I181+I185</f>
        <v>#VALUE!</v>
      </c>
      <c r="J187" s="1369" t="e">
        <f t="shared" si="70"/>
        <v>#VALUE!</v>
      </c>
      <c r="K187" s="1369" t="e">
        <f t="shared" si="70"/>
        <v>#VALUE!</v>
      </c>
      <c r="L187" s="1369" t="e">
        <f t="shared" si="70"/>
        <v>#VALUE!</v>
      </c>
      <c r="M187" s="1369" t="e">
        <f t="shared" si="70"/>
        <v>#VALUE!</v>
      </c>
      <c r="N187" s="1369" t="e">
        <f t="shared" si="70"/>
        <v>#VALUE!</v>
      </c>
      <c r="O187" s="1369" t="e">
        <f t="shared" si="70"/>
        <v>#VALUE!</v>
      </c>
      <c r="P187" s="1369" t="e">
        <f t="shared" si="70"/>
        <v>#VALUE!</v>
      </c>
      <c r="Q187" s="1369" t="e">
        <f t="shared" si="70"/>
        <v>#VALUE!</v>
      </c>
      <c r="R187" s="1369" t="e">
        <f t="shared" si="70"/>
        <v>#VALUE!</v>
      </c>
      <c r="S187" s="1369" t="e">
        <f t="shared" si="70"/>
        <v>#VALUE!</v>
      </c>
      <c r="T187" s="1369" t="e">
        <f t="shared" si="70"/>
        <v>#VALUE!</v>
      </c>
      <c r="U187" s="1369" t="e">
        <f t="shared" si="70"/>
        <v>#VALUE!</v>
      </c>
      <c r="V187" s="1369" t="e">
        <f t="shared" si="70"/>
        <v>#VALUE!</v>
      </c>
      <c r="W187" s="1369" t="e">
        <f t="shared" si="70"/>
        <v>#VALUE!</v>
      </c>
      <c r="X187" s="1369" t="e">
        <f t="shared" si="70"/>
        <v>#VALUE!</v>
      </c>
      <c r="Y187" s="1369" t="e">
        <f t="shared" si="70"/>
        <v>#VALUE!</v>
      </c>
      <c r="Z187" s="1369" t="e">
        <f t="shared" si="70"/>
        <v>#VALUE!</v>
      </c>
      <c r="AA187" s="1369" t="e">
        <f t="shared" si="70"/>
        <v>#VALUE!</v>
      </c>
      <c r="AB187" s="1192"/>
    </row>
    <row r="188" spans="2:28" ht="7.5" customHeight="1" outlineLevel="1" x14ac:dyDescent="0.25">
      <c r="B188" s="575"/>
      <c r="C188" s="38"/>
      <c r="D188" s="38"/>
      <c r="E188" s="210"/>
      <c r="F188" s="210"/>
      <c r="G188" s="1196"/>
      <c r="H188" s="1196"/>
      <c r="I188" s="1196"/>
      <c r="J188" s="1196"/>
      <c r="K188" s="1196"/>
      <c r="L188" s="1196"/>
      <c r="M188" s="1196"/>
      <c r="N188" s="1196"/>
      <c r="O188" s="1196"/>
      <c r="P188" s="1196"/>
      <c r="Q188" s="1196"/>
      <c r="R188" s="1196"/>
      <c r="S188" s="1196"/>
      <c r="T188" s="1196"/>
      <c r="U188" s="1196"/>
      <c r="V188" s="1196"/>
      <c r="W188" s="1196"/>
      <c r="X188" s="1196"/>
      <c r="Y188" s="1196"/>
      <c r="Z188" s="1196"/>
      <c r="AA188" s="1196"/>
      <c r="AB188" s="1192"/>
    </row>
    <row r="189" spans="2:28" ht="17.25" customHeight="1" outlineLevel="1" x14ac:dyDescent="0.25">
      <c r="B189" s="575" t="s">
        <v>130</v>
      </c>
      <c r="C189" s="38"/>
      <c r="D189" s="38"/>
      <c r="E189" s="38"/>
      <c r="F189" s="38"/>
      <c r="G189" s="1369" t="e">
        <f>NPV($G$136,G187:AA187)</f>
        <v>#VALUE!</v>
      </c>
      <c r="H189" s="1196"/>
      <c r="I189" s="1196"/>
      <c r="J189" s="1196"/>
      <c r="K189" s="1196"/>
      <c r="L189" s="1196"/>
      <c r="M189" s="1196"/>
      <c r="N189" s="1196"/>
      <c r="O189" s="1196"/>
      <c r="P189" s="1196"/>
      <c r="Q189" s="1196"/>
      <c r="R189" s="1196"/>
      <c r="S189" s="1196"/>
      <c r="T189" s="1196"/>
      <c r="U189" s="1196"/>
      <c r="V189" s="1196"/>
      <c r="W189" s="1196"/>
      <c r="X189" s="1196"/>
      <c r="Y189" s="1196"/>
      <c r="Z189" s="1196"/>
      <c r="AA189" s="1196"/>
      <c r="AB189" s="1192"/>
    </row>
    <row r="190" spans="2:28" ht="5.25" customHeight="1" outlineLevel="1" thickBot="1" x14ac:dyDescent="0.3">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8" x14ac:dyDescent="0.25"/>
    <row r="192" spans="2:28" x14ac:dyDescent="0.25"/>
    <row r="193" spans="1:28" x14ac:dyDescent="0.25"/>
    <row r="194" spans="1:28" s="8" customFormat="1" ht="12.75" customHeight="1" x14ac:dyDescent="0.25">
      <c r="A194" s="44" t="s">
        <v>262</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3" t="s">
        <v>58</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8" thickBot="1" x14ac:dyDescent="0.3">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x14ac:dyDescent="0.25">
      <c r="B198" s="537" t="s">
        <v>482</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2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x14ac:dyDescent="0.25">
      <c r="B200" s="553" t="s">
        <v>257</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25">
      <c r="B201" s="540"/>
      <c r="C201" s="599" t="s">
        <v>68</v>
      </c>
      <c r="D201" s="209" t="s">
        <v>22</v>
      </c>
      <c r="E201" s="541"/>
      <c r="F201" s="541"/>
      <c r="G201" s="1357">
        <f>IF('III. Inputs, Renewable Energy'!$S$31&gt;0, 'III. Inputs, Renewable Energy'!$U$15*'III. Inputs, Renewable Energy'!$U$14*'III. Inputs, Renewable Energy'!$S$29*SUM('III. Inputs, Renewable Energy'!$S$31), 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25">
      <c r="B202" s="540"/>
      <c r="C202" s="599" t="s">
        <v>69</v>
      </c>
      <c r="D202" s="209" t="s">
        <v>20</v>
      </c>
      <c r="E202" s="541"/>
      <c r="F202" s="541"/>
      <c r="G202" s="600">
        <f>SUM('III. Inputs, Renewable Energy'!$S$43)</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25">
      <c r="B203" s="540"/>
      <c r="C203" s="599" t="s">
        <v>70</v>
      </c>
      <c r="D203" s="209" t="s">
        <v>16</v>
      </c>
      <c r="E203" s="541"/>
      <c r="F203" s="541"/>
      <c r="G203" s="601">
        <f>SUM('III. Inputs, Renewable Energy'!$S$38)</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25">
      <c r="B204" s="540"/>
      <c r="C204" s="541"/>
      <c r="D204" s="541"/>
      <c r="E204" s="541"/>
      <c r="F204" s="541"/>
      <c r="G204" s="1193"/>
      <c r="H204" s="1193"/>
      <c r="I204" s="1193"/>
      <c r="J204" s="1193"/>
      <c r="K204" s="1193"/>
      <c r="L204" s="1193"/>
      <c r="M204" s="1193"/>
      <c r="N204" s="1193"/>
      <c r="O204" s="1193"/>
      <c r="P204" s="1193"/>
      <c r="Q204" s="1193"/>
      <c r="R204" s="1193"/>
      <c r="S204" s="1193"/>
      <c r="T204" s="1193"/>
      <c r="U204" s="1193"/>
      <c r="V204" s="1193"/>
      <c r="W204" s="1193"/>
      <c r="X204" s="1193"/>
      <c r="Y204" s="1193"/>
      <c r="Z204" s="1193"/>
      <c r="AA204" s="1194"/>
      <c r="AB204" s="1192"/>
    </row>
    <row r="205" spans="1:28" x14ac:dyDescent="0.25">
      <c r="B205" s="540"/>
      <c r="C205" s="602" t="s">
        <v>67</v>
      </c>
      <c r="D205" s="541"/>
      <c r="E205" s="541"/>
      <c r="F205" s="541"/>
      <c r="G205" s="1193"/>
      <c r="H205" s="1193"/>
      <c r="I205" s="1193"/>
      <c r="J205" s="1193"/>
      <c r="K205" s="1193"/>
      <c r="L205" s="1193"/>
      <c r="M205" s="1193"/>
      <c r="N205" s="1193"/>
      <c r="O205" s="1193"/>
      <c r="P205" s="1193"/>
      <c r="Q205" s="1193"/>
      <c r="R205" s="1193"/>
      <c r="S205" s="1193"/>
      <c r="T205" s="1193"/>
      <c r="U205" s="1193"/>
      <c r="V205" s="1193"/>
      <c r="W205" s="1193"/>
      <c r="X205" s="1193"/>
      <c r="Y205" s="1193"/>
      <c r="Z205" s="1193"/>
      <c r="AA205" s="1194"/>
      <c r="AB205" s="1192"/>
    </row>
    <row r="206" spans="1:28" x14ac:dyDescent="0.25">
      <c r="B206" s="540"/>
      <c r="C206" s="541" t="s">
        <v>73</v>
      </c>
      <c r="D206" s="541"/>
      <c r="E206" s="541"/>
      <c r="F206" s="541"/>
      <c r="G206" s="1357"/>
      <c r="H206" s="1357">
        <f>IF($G$201=0,0,IF(H$196&gt;$G$202,0,IPMT($G$203,H$196,$G$202,-$G$201)))</f>
        <v>0</v>
      </c>
      <c r="I206" s="1357">
        <f t="shared" ref="I206:AA206" si="71">IF($G$201=0,0,IF(I$196&gt;$G$202,0,IPMT($G$203,I$196,$G$202,-$G$201)))</f>
        <v>0</v>
      </c>
      <c r="J206" s="1357">
        <f t="shared" si="71"/>
        <v>0</v>
      </c>
      <c r="K206" s="1357">
        <f t="shared" si="71"/>
        <v>0</v>
      </c>
      <c r="L206" s="1357">
        <f t="shared" si="71"/>
        <v>0</v>
      </c>
      <c r="M206" s="1357">
        <f t="shared" si="71"/>
        <v>0</v>
      </c>
      <c r="N206" s="1357">
        <f t="shared" si="71"/>
        <v>0</v>
      </c>
      <c r="O206" s="1357">
        <f t="shared" si="71"/>
        <v>0</v>
      </c>
      <c r="P206" s="1357">
        <f t="shared" si="71"/>
        <v>0</v>
      </c>
      <c r="Q206" s="1357">
        <f t="shared" si="71"/>
        <v>0</v>
      </c>
      <c r="R206" s="1357">
        <f t="shared" si="71"/>
        <v>0</v>
      </c>
      <c r="S206" s="1357">
        <f t="shared" si="71"/>
        <v>0</v>
      </c>
      <c r="T206" s="1357">
        <f t="shared" si="71"/>
        <v>0</v>
      </c>
      <c r="U206" s="1357">
        <f t="shared" si="71"/>
        <v>0</v>
      </c>
      <c r="V206" s="1357">
        <f t="shared" si="71"/>
        <v>0</v>
      </c>
      <c r="W206" s="1357">
        <f t="shared" si="71"/>
        <v>0</v>
      </c>
      <c r="X206" s="1357">
        <f t="shared" si="71"/>
        <v>0</v>
      </c>
      <c r="Y206" s="1357">
        <f t="shared" si="71"/>
        <v>0</v>
      </c>
      <c r="Z206" s="1357">
        <f t="shared" si="71"/>
        <v>0</v>
      </c>
      <c r="AA206" s="1360">
        <f t="shared" si="71"/>
        <v>0</v>
      </c>
      <c r="AB206" s="1192"/>
    </row>
    <row r="207" spans="1:28" x14ac:dyDescent="0.25">
      <c r="B207" s="540"/>
      <c r="C207" s="551" t="s">
        <v>72</v>
      </c>
      <c r="D207" s="551"/>
      <c r="E207" s="551"/>
      <c r="F207" s="551"/>
      <c r="G207" s="1361"/>
      <c r="H207" s="1361">
        <f>IF(G201=0,0, IF(H$196&gt;$G$202,0,PPMT($G$203,H$196,$G$202,-$G$201)))</f>
        <v>0</v>
      </c>
      <c r="I207" s="1361">
        <f>IF($G$201=0,0, IF(I$196&gt;$G$202,0,PPMT($G$203,I$196,$G$202,-$G$201)))</f>
        <v>0</v>
      </c>
      <c r="J207" s="1361">
        <f t="shared" ref="J207:AA207" si="72">IF($G$201=0,0, IF(J$196&gt;$G$202,0,PPMT($G$203,J$196,$G$202,-$G$201)))</f>
        <v>0</v>
      </c>
      <c r="K207" s="1361">
        <f t="shared" si="72"/>
        <v>0</v>
      </c>
      <c r="L207" s="1361">
        <f t="shared" si="72"/>
        <v>0</v>
      </c>
      <c r="M207" s="1361">
        <f t="shared" si="72"/>
        <v>0</v>
      </c>
      <c r="N207" s="1361">
        <f t="shared" si="72"/>
        <v>0</v>
      </c>
      <c r="O207" s="1361">
        <f t="shared" si="72"/>
        <v>0</v>
      </c>
      <c r="P207" s="1361">
        <f t="shared" si="72"/>
        <v>0</v>
      </c>
      <c r="Q207" s="1361">
        <f t="shared" si="72"/>
        <v>0</v>
      </c>
      <c r="R207" s="1361">
        <f t="shared" si="72"/>
        <v>0</v>
      </c>
      <c r="S207" s="1361">
        <f t="shared" si="72"/>
        <v>0</v>
      </c>
      <c r="T207" s="1361">
        <f t="shared" si="72"/>
        <v>0</v>
      </c>
      <c r="U207" s="1361">
        <f t="shared" si="72"/>
        <v>0</v>
      </c>
      <c r="V207" s="1361">
        <f t="shared" si="72"/>
        <v>0</v>
      </c>
      <c r="W207" s="1361">
        <f t="shared" si="72"/>
        <v>0</v>
      </c>
      <c r="X207" s="1361">
        <f t="shared" si="72"/>
        <v>0</v>
      </c>
      <c r="Y207" s="1361">
        <f t="shared" si="72"/>
        <v>0</v>
      </c>
      <c r="Z207" s="1361">
        <f t="shared" si="72"/>
        <v>0</v>
      </c>
      <c r="AA207" s="1362">
        <f t="shared" si="72"/>
        <v>0</v>
      </c>
      <c r="AB207" s="1192"/>
    </row>
    <row r="208" spans="1:28" x14ac:dyDescent="0.25">
      <c r="B208" s="540"/>
      <c r="C208" s="541" t="s">
        <v>74</v>
      </c>
      <c r="D208" s="541"/>
      <c r="E208" s="541"/>
      <c r="F208" s="541"/>
      <c r="G208" s="1357"/>
      <c r="H208" s="1357">
        <f>SUM(H206:H207)</f>
        <v>0</v>
      </c>
      <c r="I208" s="1357">
        <f t="shared" ref="I208:AA208" si="73">SUM(I206:I207)</f>
        <v>0</v>
      </c>
      <c r="J208" s="1357">
        <f t="shared" si="73"/>
        <v>0</v>
      </c>
      <c r="K208" s="1357">
        <f t="shared" si="73"/>
        <v>0</v>
      </c>
      <c r="L208" s="1357">
        <f t="shared" si="73"/>
        <v>0</v>
      </c>
      <c r="M208" s="1357">
        <f t="shared" si="73"/>
        <v>0</v>
      </c>
      <c r="N208" s="1357">
        <f t="shared" si="73"/>
        <v>0</v>
      </c>
      <c r="O208" s="1357">
        <f t="shared" si="73"/>
        <v>0</v>
      </c>
      <c r="P208" s="1357">
        <f t="shared" si="73"/>
        <v>0</v>
      </c>
      <c r="Q208" s="1357">
        <f t="shared" si="73"/>
        <v>0</v>
      </c>
      <c r="R208" s="1357">
        <f t="shared" si="73"/>
        <v>0</v>
      </c>
      <c r="S208" s="1357">
        <f t="shared" si="73"/>
        <v>0</v>
      </c>
      <c r="T208" s="1357">
        <f t="shared" si="73"/>
        <v>0</v>
      </c>
      <c r="U208" s="1357">
        <f t="shared" si="73"/>
        <v>0</v>
      </c>
      <c r="V208" s="1357">
        <f t="shared" si="73"/>
        <v>0</v>
      </c>
      <c r="W208" s="1357">
        <f t="shared" si="73"/>
        <v>0</v>
      </c>
      <c r="X208" s="1357">
        <f t="shared" si="73"/>
        <v>0</v>
      </c>
      <c r="Y208" s="1357">
        <f t="shared" si="73"/>
        <v>0</v>
      </c>
      <c r="Z208" s="1357">
        <f t="shared" si="73"/>
        <v>0</v>
      </c>
      <c r="AA208" s="1360">
        <f t="shared" si="73"/>
        <v>0</v>
      </c>
      <c r="AB208" s="1192"/>
    </row>
    <row r="209" spans="2:28" x14ac:dyDescent="0.25">
      <c r="B209" s="540"/>
      <c r="C209" s="541"/>
      <c r="D209" s="541"/>
      <c r="E209" s="541"/>
      <c r="F209" s="541"/>
      <c r="G209" s="1357"/>
      <c r="H209" s="1357"/>
      <c r="I209" s="1357"/>
      <c r="J209" s="1357"/>
      <c r="K209" s="1357"/>
      <c r="L209" s="1357"/>
      <c r="M209" s="1357"/>
      <c r="N209" s="1357"/>
      <c r="O209" s="1357"/>
      <c r="P209" s="1357"/>
      <c r="Q209" s="1357"/>
      <c r="R209" s="1357"/>
      <c r="S209" s="1357"/>
      <c r="T209" s="1357"/>
      <c r="U209" s="1357"/>
      <c r="V209" s="1357"/>
      <c r="W209" s="1357"/>
      <c r="X209" s="1357"/>
      <c r="Y209" s="1357"/>
      <c r="Z209" s="1357"/>
      <c r="AA209" s="1360"/>
      <c r="AB209" s="1192"/>
    </row>
    <row r="210" spans="2:28" x14ac:dyDescent="0.25">
      <c r="B210" s="540"/>
      <c r="C210" s="603" t="s">
        <v>65</v>
      </c>
      <c r="D210" s="541"/>
      <c r="E210" s="541"/>
      <c r="F210" s="541"/>
      <c r="G210" s="1357"/>
      <c r="H210" s="1357"/>
      <c r="I210" s="1357"/>
      <c r="J210" s="1357"/>
      <c r="K210" s="1357"/>
      <c r="L210" s="1357"/>
      <c r="M210" s="1357"/>
      <c r="N210" s="1357"/>
      <c r="O210" s="1357"/>
      <c r="P210" s="1357"/>
      <c r="Q210" s="1357"/>
      <c r="R210" s="1357"/>
      <c r="S210" s="1357"/>
      <c r="T210" s="1357"/>
      <c r="U210" s="1357"/>
      <c r="V210" s="1357"/>
      <c r="W210" s="1357"/>
      <c r="X210" s="1357"/>
      <c r="Y210" s="1357"/>
      <c r="Z210" s="1357"/>
      <c r="AA210" s="1360"/>
      <c r="AB210" s="1192"/>
    </row>
    <row r="211" spans="2:28" x14ac:dyDescent="0.25">
      <c r="B211" s="540"/>
      <c r="C211" s="541" t="s">
        <v>75</v>
      </c>
      <c r="D211" s="541"/>
      <c r="E211" s="541"/>
      <c r="F211" s="541"/>
      <c r="G211" s="1357">
        <v>0</v>
      </c>
      <c r="H211" s="1357">
        <f t="shared" ref="H211:AA211" si="74">G214</f>
        <v>0</v>
      </c>
      <c r="I211" s="1357">
        <f t="shared" si="74"/>
        <v>0</v>
      </c>
      <c r="J211" s="1357">
        <f t="shared" si="74"/>
        <v>0</v>
      </c>
      <c r="K211" s="1357">
        <f t="shared" si="74"/>
        <v>0</v>
      </c>
      <c r="L211" s="1357">
        <f t="shared" si="74"/>
        <v>0</v>
      </c>
      <c r="M211" s="1357">
        <f t="shared" si="74"/>
        <v>0</v>
      </c>
      <c r="N211" s="1357">
        <f t="shared" si="74"/>
        <v>0</v>
      </c>
      <c r="O211" s="1357">
        <f t="shared" si="74"/>
        <v>0</v>
      </c>
      <c r="P211" s="1357">
        <f t="shared" si="74"/>
        <v>0</v>
      </c>
      <c r="Q211" s="1357">
        <f t="shared" si="74"/>
        <v>0</v>
      </c>
      <c r="R211" s="1357">
        <f t="shared" si="74"/>
        <v>0</v>
      </c>
      <c r="S211" s="1357">
        <f t="shared" si="74"/>
        <v>0</v>
      </c>
      <c r="T211" s="1357">
        <f t="shared" si="74"/>
        <v>0</v>
      </c>
      <c r="U211" s="1357">
        <f t="shared" si="74"/>
        <v>0</v>
      </c>
      <c r="V211" s="1357">
        <f t="shared" si="74"/>
        <v>0</v>
      </c>
      <c r="W211" s="1357">
        <f t="shared" si="74"/>
        <v>0</v>
      </c>
      <c r="X211" s="1357">
        <f t="shared" si="74"/>
        <v>0</v>
      </c>
      <c r="Y211" s="1357">
        <f t="shared" si="74"/>
        <v>0</v>
      </c>
      <c r="Z211" s="1357">
        <f t="shared" si="74"/>
        <v>0</v>
      </c>
      <c r="AA211" s="1360">
        <f t="shared" si="74"/>
        <v>0</v>
      </c>
      <c r="AB211" s="1192"/>
    </row>
    <row r="212" spans="2:28" x14ac:dyDescent="0.25">
      <c r="B212" s="540"/>
      <c r="C212" s="541" t="s">
        <v>76</v>
      </c>
      <c r="D212" s="541"/>
      <c r="E212" s="541"/>
      <c r="F212" s="541"/>
      <c r="G212" s="1357">
        <f>G201</f>
        <v>0</v>
      </c>
      <c r="H212" s="1357">
        <v>0</v>
      </c>
      <c r="I212" s="1357">
        <v>0</v>
      </c>
      <c r="J212" s="1357">
        <v>0</v>
      </c>
      <c r="K212" s="1357">
        <v>0</v>
      </c>
      <c r="L212" s="1357">
        <v>0</v>
      </c>
      <c r="M212" s="1357">
        <v>0</v>
      </c>
      <c r="N212" s="1357">
        <v>0</v>
      </c>
      <c r="O212" s="1357">
        <v>0</v>
      </c>
      <c r="P212" s="1357">
        <v>0</v>
      </c>
      <c r="Q212" s="1357">
        <v>0</v>
      </c>
      <c r="R212" s="1357">
        <v>0</v>
      </c>
      <c r="S212" s="1357">
        <v>0</v>
      </c>
      <c r="T212" s="1357">
        <v>0</v>
      </c>
      <c r="U212" s="1357">
        <v>0</v>
      </c>
      <c r="V212" s="1357">
        <v>0</v>
      </c>
      <c r="W212" s="1357">
        <v>0</v>
      </c>
      <c r="X212" s="1357">
        <v>0</v>
      </c>
      <c r="Y212" s="1357">
        <v>0</v>
      </c>
      <c r="Z212" s="1357">
        <v>0</v>
      </c>
      <c r="AA212" s="1360">
        <v>0</v>
      </c>
      <c r="AB212" s="1192"/>
    </row>
    <row r="213" spans="2:28" x14ac:dyDescent="0.25">
      <c r="B213" s="540"/>
      <c r="C213" s="551" t="s">
        <v>77</v>
      </c>
      <c r="D213" s="551"/>
      <c r="E213" s="551"/>
      <c r="F213" s="551"/>
      <c r="G213" s="1361">
        <v>0</v>
      </c>
      <c r="H213" s="1361">
        <f t="shared" ref="H213:AA213" si="75">-H207</f>
        <v>0</v>
      </c>
      <c r="I213" s="1361">
        <f t="shared" si="75"/>
        <v>0</v>
      </c>
      <c r="J213" s="1361">
        <f t="shared" si="75"/>
        <v>0</v>
      </c>
      <c r="K213" s="1361">
        <f t="shared" si="75"/>
        <v>0</v>
      </c>
      <c r="L213" s="1361">
        <f t="shared" si="75"/>
        <v>0</v>
      </c>
      <c r="M213" s="1361">
        <f t="shared" si="75"/>
        <v>0</v>
      </c>
      <c r="N213" s="1361">
        <f t="shared" si="75"/>
        <v>0</v>
      </c>
      <c r="O213" s="1361">
        <f t="shared" si="75"/>
        <v>0</v>
      </c>
      <c r="P213" s="1361">
        <f t="shared" si="75"/>
        <v>0</v>
      </c>
      <c r="Q213" s="1361">
        <f t="shared" si="75"/>
        <v>0</v>
      </c>
      <c r="R213" s="1361">
        <f t="shared" si="75"/>
        <v>0</v>
      </c>
      <c r="S213" s="1361">
        <f t="shared" si="75"/>
        <v>0</v>
      </c>
      <c r="T213" s="1361">
        <f t="shared" si="75"/>
        <v>0</v>
      </c>
      <c r="U213" s="1361">
        <f t="shared" si="75"/>
        <v>0</v>
      </c>
      <c r="V213" s="1361">
        <f t="shared" si="75"/>
        <v>0</v>
      </c>
      <c r="W213" s="1361">
        <f t="shared" si="75"/>
        <v>0</v>
      </c>
      <c r="X213" s="1361">
        <f t="shared" si="75"/>
        <v>0</v>
      </c>
      <c r="Y213" s="1361">
        <f t="shared" si="75"/>
        <v>0</v>
      </c>
      <c r="Z213" s="1361">
        <f t="shared" si="75"/>
        <v>0</v>
      </c>
      <c r="AA213" s="1362">
        <f t="shared" si="75"/>
        <v>0</v>
      </c>
      <c r="AB213" s="1192"/>
    </row>
    <row r="214" spans="2:28" x14ac:dyDescent="0.25">
      <c r="B214" s="540"/>
      <c r="C214" s="541" t="s">
        <v>66</v>
      </c>
      <c r="D214" s="541"/>
      <c r="E214" s="541"/>
      <c r="F214" s="541"/>
      <c r="G214" s="1357">
        <f>SUM(G211:G213)</f>
        <v>0</v>
      </c>
      <c r="H214" s="1357">
        <f t="shared" ref="H214:AA214" si="76">SUM(H211:H213)</f>
        <v>0</v>
      </c>
      <c r="I214" s="1357">
        <f t="shared" si="76"/>
        <v>0</v>
      </c>
      <c r="J214" s="1357">
        <f t="shared" si="76"/>
        <v>0</v>
      </c>
      <c r="K214" s="1357">
        <f t="shared" si="76"/>
        <v>0</v>
      </c>
      <c r="L214" s="1357">
        <f t="shared" si="76"/>
        <v>0</v>
      </c>
      <c r="M214" s="1357">
        <f t="shared" si="76"/>
        <v>0</v>
      </c>
      <c r="N214" s="1357">
        <f t="shared" si="76"/>
        <v>0</v>
      </c>
      <c r="O214" s="1357">
        <f t="shared" si="76"/>
        <v>0</v>
      </c>
      <c r="P214" s="1357">
        <f t="shared" si="76"/>
        <v>0</v>
      </c>
      <c r="Q214" s="1357">
        <f t="shared" si="76"/>
        <v>0</v>
      </c>
      <c r="R214" s="1357">
        <f t="shared" si="76"/>
        <v>0</v>
      </c>
      <c r="S214" s="1357">
        <f t="shared" si="76"/>
        <v>0</v>
      </c>
      <c r="T214" s="1357">
        <f t="shared" si="76"/>
        <v>0</v>
      </c>
      <c r="U214" s="1357">
        <f t="shared" si="76"/>
        <v>0</v>
      </c>
      <c r="V214" s="1357">
        <f t="shared" si="76"/>
        <v>0</v>
      </c>
      <c r="W214" s="1357">
        <f t="shared" si="76"/>
        <v>0</v>
      </c>
      <c r="X214" s="1357">
        <f t="shared" si="76"/>
        <v>0</v>
      </c>
      <c r="Y214" s="1357">
        <f t="shared" si="76"/>
        <v>0</v>
      </c>
      <c r="Z214" s="1357">
        <f t="shared" si="76"/>
        <v>0</v>
      </c>
      <c r="AA214" s="1360">
        <f t="shared" si="76"/>
        <v>0</v>
      </c>
      <c r="AB214" s="1192"/>
    </row>
    <row r="215" spans="2:28" x14ac:dyDescent="0.25">
      <c r="B215" s="540"/>
      <c r="C215" s="541"/>
      <c r="D215" s="541"/>
      <c r="E215" s="541"/>
      <c r="F215" s="541"/>
      <c r="G215" s="1357"/>
      <c r="H215" s="1357"/>
      <c r="I215" s="1357"/>
      <c r="J215" s="1357"/>
      <c r="K215" s="1357"/>
      <c r="L215" s="1357"/>
      <c r="M215" s="1357"/>
      <c r="N215" s="1357"/>
      <c r="O215" s="1357"/>
      <c r="P215" s="1357"/>
      <c r="Q215" s="1357"/>
      <c r="R215" s="1357"/>
      <c r="S215" s="1357"/>
      <c r="T215" s="1357"/>
      <c r="U215" s="1357"/>
      <c r="V215" s="1357"/>
      <c r="W215" s="1357"/>
      <c r="X215" s="1357"/>
      <c r="Y215" s="1357"/>
      <c r="Z215" s="1357"/>
      <c r="AA215" s="1360"/>
      <c r="AB215" s="1192"/>
    </row>
    <row r="216" spans="2:28" x14ac:dyDescent="0.25">
      <c r="B216" s="540"/>
      <c r="C216" s="603" t="s">
        <v>71</v>
      </c>
      <c r="D216" s="541"/>
      <c r="E216" s="541"/>
      <c r="F216" s="541"/>
      <c r="G216" s="1357"/>
      <c r="H216" s="1357"/>
      <c r="I216" s="1357"/>
      <c r="J216" s="1357"/>
      <c r="K216" s="1357"/>
      <c r="L216" s="1357"/>
      <c r="M216" s="1357"/>
      <c r="N216" s="1357"/>
      <c r="O216" s="1357"/>
      <c r="P216" s="1357"/>
      <c r="Q216" s="1357"/>
      <c r="R216" s="1357"/>
      <c r="S216" s="1357"/>
      <c r="T216" s="1357"/>
      <c r="U216" s="1357"/>
      <c r="V216" s="1357"/>
      <c r="W216" s="1357"/>
      <c r="X216" s="1357"/>
      <c r="Y216" s="1357"/>
      <c r="Z216" s="1357"/>
      <c r="AA216" s="1360"/>
      <c r="AB216" s="1192"/>
    </row>
    <row r="217" spans="2:28" x14ac:dyDescent="0.25">
      <c r="B217" s="540"/>
      <c r="C217" s="541" t="str">
        <f>'II. Inputs, Baseline Energy Mix'!E70</f>
        <v>Front-end Fee</v>
      </c>
      <c r="D217" s="541"/>
      <c r="E217" s="541"/>
      <c r="F217" s="541"/>
      <c r="G217" s="1357"/>
      <c r="H217" s="1357">
        <f>IF($G$201&gt;0, $G$201*'III. Inputs, Renewable Energy'!$S$48/10000,0)</f>
        <v>0</v>
      </c>
      <c r="I217" s="1382">
        <v>0</v>
      </c>
      <c r="J217" s="1382">
        <v>0</v>
      </c>
      <c r="K217" s="1382">
        <v>0</v>
      </c>
      <c r="L217" s="1382">
        <v>0</v>
      </c>
      <c r="M217" s="1382">
        <v>0</v>
      </c>
      <c r="N217" s="1382">
        <v>0</v>
      </c>
      <c r="O217" s="1382">
        <v>0</v>
      </c>
      <c r="P217" s="1382">
        <v>0</v>
      </c>
      <c r="Q217" s="1382">
        <v>0</v>
      </c>
      <c r="R217" s="1382">
        <v>0</v>
      </c>
      <c r="S217" s="1382">
        <v>0</v>
      </c>
      <c r="T217" s="1382">
        <v>0</v>
      </c>
      <c r="U217" s="1382">
        <v>0</v>
      </c>
      <c r="V217" s="1382">
        <v>0</v>
      </c>
      <c r="W217" s="1382">
        <v>0</v>
      </c>
      <c r="X217" s="1382">
        <v>0</v>
      </c>
      <c r="Y217" s="1382">
        <v>0</v>
      </c>
      <c r="Z217" s="1382">
        <v>0</v>
      </c>
      <c r="AA217" s="1383">
        <v>0</v>
      </c>
      <c r="AB217" s="1192"/>
    </row>
    <row r="218" spans="2:28" x14ac:dyDescent="0.2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x14ac:dyDescent="0.25">
      <c r="B219" s="553" t="s">
        <v>179</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25">
      <c r="B220" s="540"/>
      <c r="C220" s="599" t="s">
        <v>68</v>
      </c>
      <c r="D220" s="209" t="s">
        <v>22</v>
      </c>
      <c r="E220" s="541"/>
      <c r="F220" s="541"/>
      <c r="G220" s="1357">
        <f>IF('III. Inputs, Renewable Energy'!$S$32&gt;0, 'III. Inputs, Renewable Energy'!$U$15*'III. Inputs, Renewable Energy'!$U$14*'III. Inputs, Renewable Energy'!$S$29*SUM('III. Inputs, Renewable Energy'!$S$32), 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25">
      <c r="B221" s="540"/>
      <c r="C221" s="599" t="s">
        <v>69</v>
      </c>
      <c r="D221" s="209" t="s">
        <v>20</v>
      </c>
      <c r="E221" s="541"/>
      <c r="F221" s="541"/>
      <c r="G221" s="600">
        <f>SUM('III. Inputs, Renewable Energy'!$S$44)</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25">
      <c r="B222" s="540"/>
      <c r="C222" s="599" t="s">
        <v>70</v>
      </c>
      <c r="D222" s="209" t="s">
        <v>16</v>
      </c>
      <c r="E222" s="541"/>
      <c r="F222" s="541"/>
      <c r="G222" s="601">
        <f>SUM('III. Inputs, Renewable Energy'!$S$39)</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25">
      <c r="B223" s="540"/>
      <c r="C223" s="599" t="s">
        <v>235</v>
      </c>
      <c r="D223" s="209" t="s">
        <v>16</v>
      </c>
      <c r="E223" s="541"/>
      <c r="F223" s="541"/>
      <c r="G223" s="773">
        <f>SUM('III. Inputs, Renewable Energy'!$S$184)</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25">
      <c r="B224" s="540"/>
      <c r="C224" s="599" t="s">
        <v>208</v>
      </c>
      <c r="D224" s="209" t="s">
        <v>20</v>
      </c>
      <c r="E224" s="541"/>
      <c r="F224" s="541"/>
      <c r="G224" s="555">
        <f>'III. Inputs, Renewable Energy'!$S$185</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8" x14ac:dyDescent="0.2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8" x14ac:dyDescent="0.25">
      <c r="B226" s="540"/>
      <c r="C226" s="602" t="s">
        <v>67</v>
      </c>
      <c r="D226" s="541"/>
      <c r="E226" s="541"/>
      <c r="F226" s="541"/>
      <c r="G226" s="1193"/>
      <c r="H226" s="1193"/>
      <c r="I226" s="1193"/>
      <c r="J226" s="1193"/>
      <c r="K226" s="1193"/>
      <c r="L226" s="1193"/>
      <c r="M226" s="1193"/>
      <c r="N226" s="1193"/>
      <c r="O226" s="1193"/>
      <c r="P226" s="1193"/>
      <c r="Q226" s="1193"/>
      <c r="R226" s="1193"/>
      <c r="S226" s="1193"/>
      <c r="T226" s="1193"/>
      <c r="U226" s="1193"/>
      <c r="V226" s="1193"/>
      <c r="W226" s="1193"/>
      <c r="X226" s="1193"/>
      <c r="Y226" s="1193"/>
      <c r="Z226" s="1193"/>
      <c r="AA226" s="1194"/>
      <c r="AB226" s="1192"/>
    </row>
    <row r="227" spans="2:28" x14ac:dyDescent="0.25">
      <c r="B227" s="540"/>
      <c r="C227" s="541" t="s">
        <v>73</v>
      </c>
      <c r="D227" s="541"/>
      <c r="E227" s="541"/>
      <c r="F227" s="541"/>
      <c r="G227" s="1357"/>
      <c r="H227" s="1357">
        <f>IF($G$220=0,0,IF(H$196&gt;$G$221,0,IPMT($G$222,H$196,$G$221,-$G$220)))</f>
        <v>0</v>
      </c>
      <c r="I227" s="1357">
        <f t="shared" ref="I227:AA227" si="77">IF($G$220=0,0,IF(I$196&gt;$G$221,0,IPMT($G$222,I$196,$G$221,-$G$220)))</f>
        <v>0</v>
      </c>
      <c r="J227" s="1357">
        <f t="shared" si="77"/>
        <v>0</v>
      </c>
      <c r="K227" s="1357">
        <f t="shared" si="77"/>
        <v>0</v>
      </c>
      <c r="L227" s="1357">
        <f t="shared" si="77"/>
        <v>0</v>
      </c>
      <c r="M227" s="1357">
        <f t="shared" si="77"/>
        <v>0</v>
      </c>
      <c r="N227" s="1357">
        <f t="shared" si="77"/>
        <v>0</v>
      </c>
      <c r="O227" s="1357">
        <f t="shared" si="77"/>
        <v>0</v>
      </c>
      <c r="P227" s="1357">
        <f t="shared" si="77"/>
        <v>0</v>
      </c>
      <c r="Q227" s="1357">
        <f t="shared" si="77"/>
        <v>0</v>
      </c>
      <c r="R227" s="1357">
        <f t="shared" si="77"/>
        <v>0</v>
      </c>
      <c r="S227" s="1357">
        <f t="shared" si="77"/>
        <v>0</v>
      </c>
      <c r="T227" s="1357">
        <f t="shared" si="77"/>
        <v>0</v>
      </c>
      <c r="U227" s="1357">
        <f t="shared" si="77"/>
        <v>0</v>
      </c>
      <c r="V227" s="1357">
        <f t="shared" si="77"/>
        <v>0</v>
      </c>
      <c r="W227" s="1357">
        <f t="shared" si="77"/>
        <v>0</v>
      </c>
      <c r="X227" s="1357">
        <f t="shared" si="77"/>
        <v>0</v>
      </c>
      <c r="Y227" s="1357">
        <f t="shared" si="77"/>
        <v>0</v>
      </c>
      <c r="Z227" s="1357">
        <f t="shared" si="77"/>
        <v>0</v>
      </c>
      <c r="AA227" s="1360">
        <f t="shared" si="77"/>
        <v>0</v>
      </c>
      <c r="AB227" s="1192"/>
    </row>
    <row r="228" spans="2:28" x14ac:dyDescent="0.25">
      <c r="B228" s="540"/>
      <c r="C228" s="551" t="s">
        <v>72</v>
      </c>
      <c r="D228" s="551"/>
      <c r="E228" s="551"/>
      <c r="F228" s="551"/>
      <c r="G228" s="1361"/>
      <c r="H228" s="1361">
        <f>IF($G$220=0,0,IF(H$196&gt;$G$221,0,PPMT($G$222,H$196,$G$221,-$G$220)))</f>
        <v>0</v>
      </c>
      <c r="I228" s="1361">
        <f t="shared" ref="I228:AA228" si="78">IF($G$220=0,0,IF(I$196&gt;$G$221,0,PPMT($G$222,I$196,$G$221,-$G$220)))</f>
        <v>0</v>
      </c>
      <c r="J228" s="1361">
        <f t="shared" si="78"/>
        <v>0</v>
      </c>
      <c r="K228" s="1361">
        <f t="shared" si="78"/>
        <v>0</v>
      </c>
      <c r="L228" s="1361">
        <f t="shared" si="78"/>
        <v>0</v>
      </c>
      <c r="M228" s="1361">
        <f t="shared" si="78"/>
        <v>0</v>
      </c>
      <c r="N228" s="1361">
        <f t="shared" si="78"/>
        <v>0</v>
      </c>
      <c r="O228" s="1361">
        <f t="shared" si="78"/>
        <v>0</v>
      </c>
      <c r="P228" s="1361">
        <f t="shared" si="78"/>
        <v>0</v>
      </c>
      <c r="Q228" s="1361">
        <f t="shared" si="78"/>
        <v>0</v>
      </c>
      <c r="R228" s="1361">
        <f t="shared" si="78"/>
        <v>0</v>
      </c>
      <c r="S228" s="1361">
        <f t="shared" si="78"/>
        <v>0</v>
      </c>
      <c r="T228" s="1361">
        <f t="shared" si="78"/>
        <v>0</v>
      </c>
      <c r="U228" s="1361">
        <f t="shared" si="78"/>
        <v>0</v>
      </c>
      <c r="V228" s="1361">
        <f t="shared" si="78"/>
        <v>0</v>
      </c>
      <c r="W228" s="1361">
        <f t="shared" si="78"/>
        <v>0</v>
      </c>
      <c r="X228" s="1361">
        <f t="shared" si="78"/>
        <v>0</v>
      </c>
      <c r="Y228" s="1361">
        <f t="shared" si="78"/>
        <v>0</v>
      </c>
      <c r="Z228" s="1361">
        <f t="shared" si="78"/>
        <v>0</v>
      </c>
      <c r="AA228" s="1362">
        <f t="shared" si="78"/>
        <v>0</v>
      </c>
      <c r="AB228" s="1192"/>
    </row>
    <row r="229" spans="2:28" x14ac:dyDescent="0.25">
      <c r="B229" s="540"/>
      <c r="C229" s="541" t="s">
        <v>74</v>
      </c>
      <c r="D229" s="541"/>
      <c r="E229" s="541"/>
      <c r="F229" s="541"/>
      <c r="G229" s="1357"/>
      <c r="H229" s="1357">
        <f>SUM(H227:H228)</f>
        <v>0</v>
      </c>
      <c r="I229" s="1357">
        <f t="shared" ref="I229:W229" si="79">SUM(I227:I228)</f>
        <v>0</v>
      </c>
      <c r="J229" s="1357">
        <f t="shared" si="79"/>
        <v>0</v>
      </c>
      <c r="K229" s="1357">
        <f t="shared" si="79"/>
        <v>0</v>
      </c>
      <c r="L229" s="1357">
        <f t="shared" si="79"/>
        <v>0</v>
      </c>
      <c r="M229" s="1357">
        <f t="shared" si="79"/>
        <v>0</v>
      </c>
      <c r="N229" s="1357">
        <f t="shared" si="79"/>
        <v>0</v>
      </c>
      <c r="O229" s="1357">
        <f t="shared" si="79"/>
        <v>0</v>
      </c>
      <c r="P229" s="1357">
        <f t="shared" si="79"/>
        <v>0</v>
      </c>
      <c r="Q229" s="1357">
        <f t="shared" si="79"/>
        <v>0</v>
      </c>
      <c r="R229" s="1357">
        <f t="shared" si="79"/>
        <v>0</v>
      </c>
      <c r="S229" s="1357">
        <f t="shared" si="79"/>
        <v>0</v>
      </c>
      <c r="T229" s="1357">
        <f t="shared" si="79"/>
        <v>0</v>
      </c>
      <c r="U229" s="1357">
        <f t="shared" si="79"/>
        <v>0</v>
      </c>
      <c r="V229" s="1357">
        <f t="shared" si="79"/>
        <v>0</v>
      </c>
      <c r="W229" s="1357">
        <f t="shared" si="79"/>
        <v>0</v>
      </c>
      <c r="X229" s="1357">
        <f>SUM(X227:X228)</f>
        <v>0</v>
      </c>
      <c r="Y229" s="1357">
        <f>SUM(Y227:Y228)</f>
        <v>0</v>
      </c>
      <c r="Z229" s="1357">
        <f>SUM(Z227:Z228)</f>
        <v>0</v>
      </c>
      <c r="AA229" s="1360">
        <f>SUM(AA227:AA228)</f>
        <v>0</v>
      </c>
      <c r="AB229" s="1192"/>
    </row>
    <row r="230" spans="2:28" x14ac:dyDescent="0.25">
      <c r="B230" s="540"/>
      <c r="C230" s="541"/>
      <c r="D230" s="541"/>
      <c r="E230" s="541"/>
      <c r="F230" s="541"/>
      <c r="G230" s="1357"/>
      <c r="H230" s="1357"/>
      <c r="I230" s="1357"/>
      <c r="J230" s="1357"/>
      <c r="K230" s="1357"/>
      <c r="L230" s="1357"/>
      <c r="M230" s="1357"/>
      <c r="N230" s="1357"/>
      <c r="O230" s="1357"/>
      <c r="P230" s="1357"/>
      <c r="Q230" s="1357"/>
      <c r="R230" s="1357"/>
      <c r="S230" s="1357"/>
      <c r="T230" s="1357"/>
      <c r="U230" s="1357"/>
      <c r="V230" s="1357"/>
      <c r="W230" s="1357"/>
      <c r="X230" s="1357"/>
      <c r="Y230" s="1357"/>
      <c r="Z230" s="1357"/>
      <c r="AA230" s="1360"/>
      <c r="AB230" s="1192"/>
    </row>
    <row r="231" spans="2:28" x14ac:dyDescent="0.25">
      <c r="B231" s="540"/>
      <c r="C231" s="603" t="s">
        <v>65</v>
      </c>
      <c r="D231" s="541"/>
      <c r="E231" s="541"/>
      <c r="F231" s="541"/>
      <c r="G231" s="1357"/>
      <c r="H231" s="1357"/>
      <c r="I231" s="1357"/>
      <c r="J231" s="1357"/>
      <c r="K231" s="1357"/>
      <c r="L231" s="1357"/>
      <c r="M231" s="1357"/>
      <c r="N231" s="1357"/>
      <c r="O231" s="1357"/>
      <c r="P231" s="1357"/>
      <c r="Q231" s="1357"/>
      <c r="R231" s="1357"/>
      <c r="S231" s="1357"/>
      <c r="T231" s="1357"/>
      <c r="U231" s="1357"/>
      <c r="V231" s="1357"/>
      <c r="W231" s="1357"/>
      <c r="X231" s="1357"/>
      <c r="Y231" s="1357"/>
      <c r="Z231" s="1357"/>
      <c r="AA231" s="1360"/>
      <c r="AB231" s="1192"/>
    </row>
    <row r="232" spans="2:28" x14ac:dyDescent="0.25">
      <c r="B232" s="540"/>
      <c r="C232" s="541" t="s">
        <v>75</v>
      </c>
      <c r="D232" s="541"/>
      <c r="E232" s="541"/>
      <c r="F232" s="541"/>
      <c r="G232" s="1357">
        <v>0</v>
      </c>
      <c r="H232" s="1357">
        <f>G235</f>
        <v>0</v>
      </c>
      <c r="I232" s="1357">
        <f t="shared" ref="I232:W232" si="80">H235</f>
        <v>0</v>
      </c>
      <c r="J232" s="1357">
        <f t="shared" si="80"/>
        <v>0</v>
      </c>
      <c r="K232" s="1357">
        <f t="shared" si="80"/>
        <v>0</v>
      </c>
      <c r="L232" s="1357">
        <f t="shared" si="80"/>
        <v>0</v>
      </c>
      <c r="M232" s="1357">
        <f t="shared" si="80"/>
        <v>0</v>
      </c>
      <c r="N232" s="1357">
        <f t="shared" si="80"/>
        <v>0</v>
      </c>
      <c r="O232" s="1357">
        <f t="shared" si="80"/>
        <v>0</v>
      </c>
      <c r="P232" s="1357">
        <f t="shared" si="80"/>
        <v>0</v>
      </c>
      <c r="Q232" s="1357">
        <f t="shared" si="80"/>
        <v>0</v>
      </c>
      <c r="R232" s="1357">
        <f t="shared" si="80"/>
        <v>0</v>
      </c>
      <c r="S232" s="1357">
        <f t="shared" si="80"/>
        <v>0</v>
      </c>
      <c r="T232" s="1357">
        <f t="shared" si="80"/>
        <v>0</v>
      </c>
      <c r="U232" s="1357">
        <f t="shared" si="80"/>
        <v>0</v>
      </c>
      <c r="V232" s="1357">
        <f t="shared" si="80"/>
        <v>0</v>
      </c>
      <c r="W232" s="1357">
        <f t="shared" si="80"/>
        <v>0</v>
      </c>
      <c r="X232" s="1357">
        <f>W235</f>
        <v>0</v>
      </c>
      <c r="Y232" s="1357">
        <f>X235</f>
        <v>0</v>
      </c>
      <c r="Z232" s="1357">
        <f>Y235</f>
        <v>0</v>
      </c>
      <c r="AA232" s="1360">
        <f>Z235</f>
        <v>0</v>
      </c>
      <c r="AB232" s="1192"/>
    </row>
    <row r="233" spans="2:28" x14ac:dyDescent="0.25">
      <c r="B233" s="540"/>
      <c r="C233" s="541" t="s">
        <v>76</v>
      </c>
      <c r="D233" s="541"/>
      <c r="E233" s="541"/>
      <c r="F233" s="541"/>
      <c r="G233" s="1357">
        <f>G220</f>
        <v>0</v>
      </c>
      <c r="H233" s="1357">
        <v>0</v>
      </c>
      <c r="I233" s="1357">
        <v>0</v>
      </c>
      <c r="J233" s="1357">
        <v>0</v>
      </c>
      <c r="K233" s="1357">
        <v>0</v>
      </c>
      <c r="L233" s="1357">
        <v>0</v>
      </c>
      <c r="M233" s="1357">
        <v>0</v>
      </c>
      <c r="N233" s="1357">
        <v>0</v>
      </c>
      <c r="O233" s="1357">
        <v>0</v>
      </c>
      <c r="P233" s="1357">
        <v>0</v>
      </c>
      <c r="Q233" s="1357">
        <v>0</v>
      </c>
      <c r="R233" s="1357">
        <v>0</v>
      </c>
      <c r="S233" s="1357">
        <v>0</v>
      </c>
      <c r="T233" s="1357">
        <v>0</v>
      </c>
      <c r="U233" s="1357">
        <v>0</v>
      </c>
      <c r="V233" s="1357">
        <v>0</v>
      </c>
      <c r="W233" s="1357">
        <v>0</v>
      </c>
      <c r="X233" s="1357">
        <v>0</v>
      </c>
      <c r="Y233" s="1357">
        <v>0</v>
      </c>
      <c r="Z233" s="1357">
        <v>0</v>
      </c>
      <c r="AA233" s="1360">
        <v>0</v>
      </c>
      <c r="AB233" s="1192"/>
    </row>
    <row r="234" spans="2:28" x14ac:dyDescent="0.25">
      <c r="B234" s="540"/>
      <c r="C234" s="551" t="s">
        <v>77</v>
      </c>
      <c r="D234" s="551"/>
      <c r="E234" s="551"/>
      <c r="F234" s="551"/>
      <c r="G234" s="1361">
        <v>0</v>
      </c>
      <c r="H234" s="1361">
        <f>-H228</f>
        <v>0</v>
      </c>
      <c r="I234" s="1361">
        <f t="shared" ref="I234:W234" si="81">-I228</f>
        <v>0</v>
      </c>
      <c r="J234" s="1361">
        <f t="shared" si="81"/>
        <v>0</v>
      </c>
      <c r="K234" s="1361">
        <f t="shared" si="81"/>
        <v>0</v>
      </c>
      <c r="L234" s="1361">
        <f t="shared" si="81"/>
        <v>0</v>
      </c>
      <c r="M234" s="1361">
        <f t="shared" si="81"/>
        <v>0</v>
      </c>
      <c r="N234" s="1361">
        <f t="shared" si="81"/>
        <v>0</v>
      </c>
      <c r="O234" s="1361">
        <f t="shared" si="81"/>
        <v>0</v>
      </c>
      <c r="P234" s="1361">
        <f t="shared" si="81"/>
        <v>0</v>
      </c>
      <c r="Q234" s="1361">
        <f t="shared" si="81"/>
        <v>0</v>
      </c>
      <c r="R234" s="1361">
        <f t="shared" si="81"/>
        <v>0</v>
      </c>
      <c r="S234" s="1361">
        <f t="shared" si="81"/>
        <v>0</v>
      </c>
      <c r="T234" s="1361">
        <f t="shared" si="81"/>
        <v>0</v>
      </c>
      <c r="U234" s="1361">
        <f t="shared" si="81"/>
        <v>0</v>
      </c>
      <c r="V234" s="1361">
        <f t="shared" si="81"/>
        <v>0</v>
      </c>
      <c r="W234" s="1361">
        <f t="shared" si="81"/>
        <v>0</v>
      </c>
      <c r="X234" s="1361">
        <f>-X228</f>
        <v>0</v>
      </c>
      <c r="Y234" s="1361">
        <f>-Y228</f>
        <v>0</v>
      </c>
      <c r="Z234" s="1361">
        <f>-Z228</f>
        <v>0</v>
      </c>
      <c r="AA234" s="1362">
        <f>-AA228</f>
        <v>0</v>
      </c>
      <c r="AB234" s="1192"/>
    </row>
    <row r="235" spans="2:28" x14ac:dyDescent="0.25">
      <c r="B235" s="540"/>
      <c r="C235" s="541" t="s">
        <v>66</v>
      </c>
      <c r="D235" s="541"/>
      <c r="E235" s="541"/>
      <c r="F235" s="541"/>
      <c r="G235" s="1357">
        <f>SUM(G232:G234)</f>
        <v>0</v>
      </c>
      <c r="H235" s="1357">
        <f>SUM(H232:H234)</f>
        <v>0</v>
      </c>
      <c r="I235" s="1357">
        <f t="shared" ref="I235:W235" si="82">SUM(I232:I234)</f>
        <v>0</v>
      </c>
      <c r="J235" s="1357">
        <f t="shared" si="82"/>
        <v>0</v>
      </c>
      <c r="K235" s="1357">
        <f t="shared" si="82"/>
        <v>0</v>
      </c>
      <c r="L235" s="1357">
        <f t="shared" si="82"/>
        <v>0</v>
      </c>
      <c r="M235" s="1357">
        <f t="shared" si="82"/>
        <v>0</v>
      </c>
      <c r="N235" s="1357">
        <f t="shared" si="82"/>
        <v>0</v>
      </c>
      <c r="O235" s="1357">
        <f t="shared" si="82"/>
        <v>0</v>
      </c>
      <c r="P235" s="1357">
        <f t="shared" si="82"/>
        <v>0</v>
      </c>
      <c r="Q235" s="1357">
        <f t="shared" si="82"/>
        <v>0</v>
      </c>
      <c r="R235" s="1357">
        <f t="shared" si="82"/>
        <v>0</v>
      </c>
      <c r="S235" s="1357">
        <f t="shared" si="82"/>
        <v>0</v>
      </c>
      <c r="T235" s="1357">
        <f t="shared" si="82"/>
        <v>0</v>
      </c>
      <c r="U235" s="1357">
        <f t="shared" si="82"/>
        <v>0</v>
      </c>
      <c r="V235" s="1357">
        <f t="shared" si="82"/>
        <v>0</v>
      </c>
      <c r="W235" s="1357">
        <f t="shared" si="82"/>
        <v>0</v>
      </c>
      <c r="X235" s="1357">
        <f>SUM(X232:X234)</f>
        <v>0</v>
      </c>
      <c r="Y235" s="1357">
        <f>SUM(Y232:Y234)</f>
        <v>0</v>
      </c>
      <c r="Z235" s="1357">
        <f>SUM(Z232:Z234)</f>
        <v>0</v>
      </c>
      <c r="AA235" s="1360">
        <f>SUM(AA232:AA234)</f>
        <v>0</v>
      </c>
      <c r="AB235" s="1192"/>
    </row>
    <row r="236" spans="2:28" x14ac:dyDescent="0.25">
      <c r="B236" s="540"/>
      <c r="C236" s="541"/>
      <c r="D236" s="541"/>
      <c r="E236" s="541"/>
      <c r="F236" s="541"/>
      <c r="G236" s="1357"/>
      <c r="H236" s="1357"/>
      <c r="I236" s="1357"/>
      <c r="J236" s="1357"/>
      <c r="K236" s="1357"/>
      <c r="L236" s="1357"/>
      <c r="M236" s="1357"/>
      <c r="N236" s="1357"/>
      <c r="O236" s="1357"/>
      <c r="P236" s="1357"/>
      <c r="Q236" s="1357"/>
      <c r="R236" s="1357"/>
      <c r="S236" s="1357"/>
      <c r="T236" s="1357"/>
      <c r="U236" s="1357"/>
      <c r="V236" s="1357"/>
      <c r="W236" s="1357"/>
      <c r="X236" s="1357"/>
      <c r="Y236" s="1357"/>
      <c r="Z236" s="1357"/>
      <c r="AA236" s="1360"/>
      <c r="AB236" s="1192"/>
    </row>
    <row r="237" spans="2:28" x14ac:dyDescent="0.25">
      <c r="B237" s="540"/>
      <c r="C237" s="603" t="s">
        <v>71</v>
      </c>
      <c r="D237" s="541"/>
      <c r="E237" s="541"/>
      <c r="F237" s="541"/>
      <c r="G237" s="1357"/>
      <c r="H237" s="1357"/>
      <c r="I237" s="1357"/>
      <c r="J237" s="1357"/>
      <c r="K237" s="1357"/>
      <c r="L237" s="1357"/>
      <c r="M237" s="1357"/>
      <c r="N237" s="1357"/>
      <c r="O237" s="1357"/>
      <c r="P237" s="1357"/>
      <c r="Q237" s="1357"/>
      <c r="R237" s="1357"/>
      <c r="S237" s="1357"/>
      <c r="T237" s="1357"/>
      <c r="U237" s="1357"/>
      <c r="V237" s="1357"/>
      <c r="W237" s="1357"/>
      <c r="X237" s="1357"/>
      <c r="Y237" s="1357"/>
      <c r="Z237" s="1357"/>
      <c r="AA237" s="1360"/>
      <c r="AB237" s="1192"/>
    </row>
    <row r="238" spans="2:28" x14ac:dyDescent="0.25">
      <c r="B238" s="540"/>
      <c r="C238" s="541" t="s">
        <v>233</v>
      </c>
      <c r="D238" s="541"/>
      <c r="E238" s="541"/>
      <c r="F238" s="541"/>
      <c r="G238" s="1357"/>
      <c r="H238" s="1357">
        <f>IF($G$220&gt;0, $G$220*'III. Inputs, Renewable Energy'!$S$49/10000,0)</f>
        <v>0</v>
      </c>
      <c r="I238" s="1382">
        <v>0</v>
      </c>
      <c r="J238" s="1382">
        <v>0</v>
      </c>
      <c r="K238" s="1382">
        <v>0</v>
      </c>
      <c r="L238" s="1382">
        <v>0</v>
      </c>
      <c r="M238" s="1382">
        <v>0</v>
      </c>
      <c r="N238" s="1382">
        <v>0</v>
      </c>
      <c r="O238" s="1382">
        <v>0</v>
      </c>
      <c r="P238" s="1382">
        <v>0</v>
      </c>
      <c r="Q238" s="1382">
        <v>0</v>
      </c>
      <c r="R238" s="1382">
        <v>0</v>
      </c>
      <c r="S238" s="1382">
        <v>0</v>
      </c>
      <c r="T238" s="1382">
        <v>0</v>
      </c>
      <c r="U238" s="1382">
        <v>0</v>
      </c>
      <c r="V238" s="1382">
        <v>0</v>
      </c>
      <c r="W238" s="1382">
        <v>0</v>
      </c>
      <c r="X238" s="1382">
        <v>0</v>
      </c>
      <c r="Y238" s="1382">
        <v>0</v>
      </c>
      <c r="Z238" s="1382">
        <v>0</v>
      </c>
      <c r="AA238" s="1383">
        <v>0</v>
      </c>
      <c r="AB238" s="1192"/>
    </row>
    <row r="239" spans="2:28" x14ac:dyDescent="0.25">
      <c r="B239" s="540"/>
      <c r="C239" s="541" t="str">
        <f>'III. Inputs, Renewable Energy'!$O$186</f>
        <v>Front-end Fee, Public Guarantee</v>
      </c>
      <c r="D239" s="541"/>
      <c r="E239" s="541"/>
      <c r="F239" s="541"/>
      <c r="G239" s="1357"/>
      <c r="H239" s="1357">
        <f>IF($G$223&gt;0, $G$220*$G$223*'III. Inputs, Renewable Energy'!$S$186/10000,0)</f>
        <v>0</v>
      </c>
      <c r="I239" s="1382">
        <v>0</v>
      </c>
      <c r="J239" s="1382">
        <v>0</v>
      </c>
      <c r="K239" s="1382">
        <v>0</v>
      </c>
      <c r="L239" s="1382">
        <v>0</v>
      </c>
      <c r="M239" s="1382">
        <v>0</v>
      </c>
      <c r="N239" s="1382">
        <v>0</v>
      </c>
      <c r="O239" s="1382">
        <v>0</v>
      </c>
      <c r="P239" s="1382">
        <v>0</v>
      </c>
      <c r="Q239" s="1382">
        <v>0</v>
      </c>
      <c r="R239" s="1382">
        <v>0</v>
      </c>
      <c r="S239" s="1382">
        <v>0</v>
      </c>
      <c r="T239" s="1382">
        <v>0</v>
      </c>
      <c r="U239" s="1382">
        <v>0</v>
      </c>
      <c r="V239" s="1382">
        <v>0</v>
      </c>
      <c r="W239" s="1382">
        <v>0</v>
      </c>
      <c r="X239" s="1382">
        <v>0</v>
      </c>
      <c r="Y239" s="1382">
        <v>0</v>
      </c>
      <c r="Z239" s="1382">
        <v>0</v>
      </c>
      <c r="AA239" s="1383">
        <v>0</v>
      </c>
      <c r="AB239" s="1192"/>
    </row>
    <row r="240" spans="2:28" x14ac:dyDescent="0.25">
      <c r="B240" s="540"/>
      <c r="C240" s="541" t="str">
        <f>'III. Inputs, Renewable Energy'!$O$187</f>
        <v>Annual Guarantee Fee</v>
      </c>
      <c r="D240" s="541"/>
      <c r="E240" s="541"/>
      <c r="F240" s="541"/>
      <c r="G240" s="1357"/>
      <c r="H240" s="1357">
        <f>IF(H$196&gt;$G$224,0,((H232+H235)/2)*$G$223*'III. Inputs, Renewable Energy'!$S$187/10000)</f>
        <v>0</v>
      </c>
      <c r="I240" s="1357">
        <f>IF(I$196&gt;$G$224,0,((I232+I235)/2)*$G$223*'III. Inputs, Renewable Energy'!$S$187/10000)</f>
        <v>0</v>
      </c>
      <c r="J240" s="1357">
        <f>IF(J$196&gt;$G$224,0,((J232+J235)/2)*$G$223*'III. Inputs, Renewable Energy'!$S$187/10000)</f>
        <v>0</v>
      </c>
      <c r="K240" s="1357">
        <f>IF(K$196&gt;$G$224,0,((K232+K235)/2)*$G$223*'III. Inputs, Renewable Energy'!$S$187/10000)</f>
        <v>0</v>
      </c>
      <c r="L240" s="1357">
        <f>IF(L$196&gt;$G$224,0,((L232+L235)/2)*$G$223*'III. Inputs, Renewable Energy'!$S$187/10000)</f>
        <v>0</v>
      </c>
      <c r="M240" s="1357">
        <f>IF(M$196&gt;$G$224,0,((M232+M235)/2)*$G$223*'III. Inputs, Renewable Energy'!$S$187/10000)</f>
        <v>0</v>
      </c>
      <c r="N240" s="1357">
        <f>IF(N$196&gt;$G$224,0,((N232+N235)/2)*$G$223*'III. Inputs, Renewable Energy'!$S$187/10000)</f>
        <v>0</v>
      </c>
      <c r="O240" s="1357">
        <f>IF(O$196&gt;$G$224,0,((O232+O235)/2)*$G$223*'III. Inputs, Renewable Energy'!$S$187/10000)</f>
        <v>0</v>
      </c>
      <c r="P240" s="1357">
        <f>IF(P$196&gt;$G$224,0,((P232+P235)/2)*$G$223*'III. Inputs, Renewable Energy'!$S$187/10000)</f>
        <v>0</v>
      </c>
      <c r="Q240" s="1357">
        <f>IF(Q$196&gt;$G$224,0,((Q232+Q235)/2)*$G$223*'III. Inputs, Renewable Energy'!$S$187/10000)</f>
        <v>0</v>
      </c>
      <c r="R240" s="1357">
        <f>IF(R$196&gt;$G$224,0,((R232+R235)/2)*$G$223*'III. Inputs, Renewable Energy'!$S$187/10000)</f>
        <v>0</v>
      </c>
      <c r="S240" s="1357">
        <f>IF(S$196&gt;$G$224,0,((S232+S235)/2)*$G$223*'III. Inputs, Renewable Energy'!$S$187/10000)</f>
        <v>0</v>
      </c>
      <c r="T240" s="1357">
        <f>IF(T$196&gt;$G$224,0,((T232+T235)/2)*$G$223*'III. Inputs, Renewable Energy'!$S$187/10000)</f>
        <v>0</v>
      </c>
      <c r="U240" s="1357">
        <f>IF(U$196&gt;$G$224,0,((U232+U235)/2)*$G$223*'III. Inputs, Renewable Energy'!$S$187/10000)</f>
        <v>0</v>
      </c>
      <c r="V240" s="1357">
        <f>IF(V$196&gt;$G$224,0,((V232+V235)/2)*$G$223*'III. Inputs, Renewable Energy'!$S$187/10000)</f>
        <v>0</v>
      </c>
      <c r="W240" s="1357">
        <f>IF(W$196&gt;$G$224,0,((W232+W235)/2)*$G$223*'III. Inputs, Renewable Energy'!$S$187/10000)</f>
        <v>0</v>
      </c>
      <c r="X240" s="1357">
        <f>IF(X$196&gt;$G$224,0,((X232+X235)/2)*$G$223*'III. Inputs, Renewable Energy'!$S$187/10000)</f>
        <v>0</v>
      </c>
      <c r="Y240" s="1357">
        <f>IF(Y$196&gt;$G$224,0,((Y232+Y235)/2)*$G$223*'III. Inputs, Renewable Energy'!$S$187/10000)</f>
        <v>0</v>
      </c>
      <c r="Z240" s="1357">
        <f>IF(Z$196&gt;$G$224,0,((Z232+Z235)/2)*$G$223*'III. Inputs, Renewable Energy'!$S$187/10000)</f>
        <v>0</v>
      </c>
      <c r="AA240" s="1360">
        <f>IF(AA$196&gt;$G$224,0,((AA232+AA235)/2)*$G$223*'III. Inputs, Renewable Energy'!$S$187/10000)</f>
        <v>0</v>
      </c>
      <c r="AB240" s="1192"/>
    </row>
    <row r="241" spans="2:27" x14ac:dyDescent="0.25">
      <c r="B241" s="540"/>
      <c r="C241" s="541"/>
      <c r="D241" s="541"/>
      <c r="E241" s="541"/>
      <c r="F241" s="541"/>
      <c r="G241" s="1357"/>
      <c r="H241" s="1357"/>
      <c r="I241" s="1357"/>
      <c r="J241" s="1357"/>
      <c r="K241" s="1357"/>
      <c r="L241" s="1357"/>
      <c r="M241" s="1357"/>
      <c r="N241" s="1357"/>
      <c r="O241" s="1357"/>
      <c r="P241" s="1357"/>
      <c r="Q241" s="1357"/>
      <c r="R241" s="1357"/>
      <c r="S241" s="1357"/>
      <c r="T241" s="1357"/>
      <c r="U241" s="1357"/>
      <c r="V241" s="1357"/>
      <c r="W241" s="1357"/>
      <c r="X241" s="1357"/>
      <c r="Y241" s="1357"/>
      <c r="Z241" s="1357"/>
      <c r="AA241" s="1360"/>
    </row>
    <row r="242" spans="2:27" x14ac:dyDescent="0.25">
      <c r="B242" s="553" t="s">
        <v>180</v>
      </c>
      <c r="C242" s="541"/>
      <c r="D242" s="541"/>
      <c r="E242" s="541"/>
      <c r="F242" s="541"/>
      <c r="G242" s="1357"/>
      <c r="H242" s="1357"/>
      <c r="I242" s="1357"/>
      <c r="J242" s="1357"/>
      <c r="K242" s="1357"/>
      <c r="L242" s="1357"/>
      <c r="M242" s="1357"/>
      <c r="N242" s="1357"/>
      <c r="O242" s="1357"/>
      <c r="P242" s="1357"/>
      <c r="Q242" s="1357"/>
      <c r="R242" s="1357"/>
      <c r="S242" s="1357"/>
      <c r="T242" s="1357"/>
      <c r="U242" s="1357"/>
      <c r="V242" s="1357"/>
      <c r="W242" s="1357"/>
      <c r="X242" s="1357"/>
      <c r="Y242" s="1357"/>
      <c r="Z242" s="1357"/>
      <c r="AA242" s="1360"/>
    </row>
    <row r="243" spans="2:27" x14ac:dyDescent="0.25">
      <c r="B243" s="540"/>
      <c r="C243" s="599" t="s">
        <v>68</v>
      </c>
      <c r="D243" s="541"/>
      <c r="E243" s="541"/>
      <c r="F243" s="541"/>
      <c r="G243" s="1357">
        <f>IF('III. Inputs, Renewable Energy'!$S$33&gt;0, 'III. Inputs, Renewable Energy'!$U$15*'III. Inputs, Renewable Energy'!$U$14*'III. Inputs, Renewable Energy'!$S$29*SUM('III. Inputs, Renewable Energy'!$S$33), 0)</f>
        <v>0</v>
      </c>
      <c r="H243" s="1357"/>
      <c r="I243" s="1357"/>
      <c r="J243" s="1357"/>
      <c r="K243" s="1357"/>
      <c r="L243" s="1357"/>
      <c r="M243" s="1357"/>
      <c r="N243" s="1357"/>
      <c r="O243" s="1357"/>
      <c r="P243" s="1357"/>
      <c r="Q243" s="1357"/>
      <c r="R243" s="1357"/>
      <c r="S243" s="1357"/>
      <c r="T243" s="1357"/>
      <c r="U243" s="1357"/>
      <c r="V243" s="1357"/>
      <c r="W243" s="1357"/>
      <c r="X243" s="1357"/>
      <c r="Y243" s="1357"/>
      <c r="Z243" s="1357"/>
      <c r="AA243" s="1360"/>
    </row>
    <row r="244" spans="2:27" x14ac:dyDescent="0.25">
      <c r="B244" s="540"/>
      <c r="C244" s="599" t="s">
        <v>69</v>
      </c>
      <c r="D244" s="541"/>
      <c r="E244" s="541"/>
      <c r="F244" s="541"/>
      <c r="G244" s="555">
        <f>SUM('III. Inputs, Renewable Energy'!S45)</f>
        <v>0</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25">
      <c r="B245" s="540"/>
      <c r="C245" s="599" t="s">
        <v>70</v>
      </c>
      <c r="D245" s="541"/>
      <c r="E245" s="541"/>
      <c r="F245" s="541"/>
      <c r="G245" s="773">
        <f>SUM('III. Inputs, Renewable Energy'!S40)</f>
        <v>0</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2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25">
      <c r="B247" s="540"/>
      <c r="C247" s="602" t="s">
        <v>67</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25">
      <c r="B248" s="540"/>
      <c r="C248" s="541" t="s">
        <v>73</v>
      </c>
      <c r="D248" s="541"/>
      <c r="E248" s="541"/>
      <c r="F248" s="541"/>
      <c r="G248" s="1357"/>
      <c r="H248" s="1357">
        <f t="shared" ref="H248:AA248" si="83">IF(H$196&gt;$G$244,0,IPMT($G$245,H$196,$G$244,-$G$243))</f>
        <v>0</v>
      </c>
      <c r="I248" s="1357">
        <f t="shared" si="83"/>
        <v>0</v>
      </c>
      <c r="J248" s="1357">
        <f t="shared" si="83"/>
        <v>0</v>
      </c>
      <c r="K248" s="1357">
        <f t="shared" si="83"/>
        <v>0</v>
      </c>
      <c r="L248" s="1357">
        <f t="shared" si="83"/>
        <v>0</v>
      </c>
      <c r="M248" s="1357">
        <f t="shared" si="83"/>
        <v>0</v>
      </c>
      <c r="N248" s="1357">
        <f t="shared" si="83"/>
        <v>0</v>
      </c>
      <c r="O248" s="1357">
        <f t="shared" si="83"/>
        <v>0</v>
      </c>
      <c r="P248" s="1357">
        <f t="shared" si="83"/>
        <v>0</v>
      </c>
      <c r="Q248" s="1357">
        <f t="shared" si="83"/>
        <v>0</v>
      </c>
      <c r="R248" s="1357">
        <f t="shared" si="83"/>
        <v>0</v>
      </c>
      <c r="S248" s="1357">
        <f t="shared" si="83"/>
        <v>0</v>
      </c>
      <c r="T248" s="1357">
        <f t="shared" si="83"/>
        <v>0</v>
      </c>
      <c r="U248" s="1357">
        <f t="shared" si="83"/>
        <v>0</v>
      </c>
      <c r="V248" s="1357">
        <f t="shared" si="83"/>
        <v>0</v>
      </c>
      <c r="W248" s="1357">
        <f t="shared" si="83"/>
        <v>0</v>
      </c>
      <c r="X248" s="1357">
        <f t="shared" si="83"/>
        <v>0</v>
      </c>
      <c r="Y248" s="1357">
        <f t="shared" si="83"/>
        <v>0</v>
      </c>
      <c r="Z248" s="1357">
        <f t="shared" si="83"/>
        <v>0</v>
      </c>
      <c r="AA248" s="1360">
        <f t="shared" si="83"/>
        <v>0</v>
      </c>
    </row>
    <row r="249" spans="2:27" x14ac:dyDescent="0.25">
      <c r="B249" s="540"/>
      <c r="C249" s="551" t="s">
        <v>72</v>
      </c>
      <c r="D249" s="551"/>
      <c r="E249" s="551"/>
      <c r="F249" s="551"/>
      <c r="G249" s="1361"/>
      <c r="H249" s="1361">
        <f t="shared" ref="H249:AA249" si="84">IF(H$196&gt;$G$244,0,PPMT($G$245,H$196,$G$244,-$G$243))</f>
        <v>0</v>
      </c>
      <c r="I249" s="1361">
        <f t="shared" si="84"/>
        <v>0</v>
      </c>
      <c r="J249" s="1361">
        <f t="shared" si="84"/>
        <v>0</v>
      </c>
      <c r="K249" s="1361">
        <f t="shared" si="84"/>
        <v>0</v>
      </c>
      <c r="L249" s="1361">
        <f t="shared" si="84"/>
        <v>0</v>
      </c>
      <c r="M249" s="1361">
        <f t="shared" si="84"/>
        <v>0</v>
      </c>
      <c r="N249" s="1361">
        <f t="shared" si="84"/>
        <v>0</v>
      </c>
      <c r="O249" s="1361">
        <f t="shared" si="84"/>
        <v>0</v>
      </c>
      <c r="P249" s="1361">
        <f t="shared" si="84"/>
        <v>0</v>
      </c>
      <c r="Q249" s="1361">
        <f t="shared" si="84"/>
        <v>0</v>
      </c>
      <c r="R249" s="1361">
        <f t="shared" si="84"/>
        <v>0</v>
      </c>
      <c r="S249" s="1361">
        <f t="shared" si="84"/>
        <v>0</v>
      </c>
      <c r="T249" s="1361">
        <f t="shared" si="84"/>
        <v>0</v>
      </c>
      <c r="U249" s="1361">
        <f t="shared" si="84"/>
        <v>0</v>
      </c>
      <c r="V249" s="1361">
        <f t="shared" si="84"/>
        <v>0</v>
      </c>
      <c r="W249" s="1361">
        <f t="shared" si="84"/>
        <v>0</v>
      </c>
      <c r="X249" s="1361">
        <f t="shared" si="84"/>
        <v>0</v>
      </c>
      <c r="Y249" s="1361">
        <f t="shared" si="84"/>
        <v>0</v>
      </c>
      <c r="Z249" s="1361">
        <f t="shared" si="84"/>
        <v>0</v>
      </c>
      <c r="AA249" s="1362">
        <f t="shared" si="84"/>
        <v>0</v>
      </c>
    </row>
    <row r="250" spans="2:27" x14ac:dyDescent="0.25">
      <c r="B250" s="540"/>
      <c r="C250" s="541" t="s">
        <v>74</v>
      </c>
      <c r="D250" s="541"/>
      <c r="E250" s="541"/>
      <c r="F250" s="541"/>
      <c r="G250" s="1357"/>
      <c r="H250" s="1357">
        <f>SUM(H248:H249)</f>
        <v>0</v>
      </c>
      <c r="I250" s="1357">
        <f t="shared" ref="I250:W250" si="85">SUM(I248:I249)</f>
        <v>0</v>
      </c>
      <c r="J250" s="1357">
        <f t="shared" si="85"/>
        <v>0</v>
      </c>
      <c r="K250" s="1357">
        <f t="shared" si="85"/>
        <v>0</v>
      </c>
      <c r="L250" s="1357">
        <f t="shared" si="85"/>
        <v>0</v>
      </c>
      <c r="M250" s="1357">
        <f t="shared" si="85"/>
        <v>0</v>
      </c>
      <c r="N250" s="1357">
        <f t="shared" si="85"/>
        <v>0</v>
      </c>
      <c r="O250" s="1357">
        <f t="shared" si="85"/>
        <v>0</v>
      </c>
      <c r="P250" s="1357">
        <f t="shared" si="85"/>
        <v>0</v>
      </c>
      <c r="Q250" s="1357">
        <f t="shared" si="85"/>
        <v>0</v>
      </c>
      <c r="R250" s="1357">
        <f t="shared" si="85"/>
        <v>0</v>
      </c>
      <c r="S250" s="1357">
        <f t="shared" si="85"/>
        <v>0</v>
      </c>
      <c r="T250" s="1357">
        <f t="shared" si="85"/>
        <v>0</v>
      </c>
      <c r="U250" s="1357">
        <f t="shared" si="85"/>
        <v>0</v>
      </c>
      <c r="V250" s="1357">
        <f t="shared" si="85"/>
        <v>0</v>
      </c>
      <c r="W250" s="1357">
        <f t="shared" si="85"/>
        <v>0</v>
      </c>
      <c r="X250" s="1357">
        <f>SUM(X248:X249)</f>
        <v>0</v>
      </c>
      <c r="Y250" s="1357">
        <f>SUM(Y248:Y249)</f>
        <v>0</v>
      </c>
      <c r="Z250" s="1357">
        <f>SUM(Z248:Z249)</f>
        <v>0</v>
      </c>
      <c r="AA250" s="1360">
        <f>SUM(AA248:AA249)</f>
        <v>0</v>
      </c>
    </row>
    <row r="251" spans="2:27" x14ac:dyDescent="0.25">
      <c r="B251" s="540"/>
      <c r="C251" s="541"/>
      <c r="D251" s="541"/>
      <c r="E251" s="541"/>
      <c r="F251" s="541"/>
      <c r="G251" s="1357"/>
      <c r="H251" s="1357"/>
      <c r="I251" s="1357"/>
      <c r="J251" s="1357"/>
      <c r="K251" s="1357"/>
      <c r="L251" s="1357"/>
      <c r="M251" s="1357"/>
      <c r="N251" s="1357"/>
      <c r="O251" s="1357"/>
      <c r="P251" s="1357"/>
      <c r="Q251" s="1357"/>
      <c r="R251" s="1357"/>
      <c r="S251" s="1357"/>
      <c r="T251" s="1357"/>
      <c r="U251" s="1357"/>
      <c r="V251" s="1357"/>
      <c r="W251" s="1357"/>
      <c r="X251" s="1357"/>
      <c r="Y251" s="1357"/>
      <c r="Z251" s="1357"/>
      <c r="AA251" s="1360"/>
    </row>
    <row r="252" spans="2:27" x14ac:dyDescent="0.25">
      <c r="B252" s="540"/>
      <c r="C252" s="603" t="s">
        <v>65</v>
      </c>
      <c r="D252" s="541"/>
      <c r="E252" s="541"/>
      <c r="F252" s="541"/>
      <c r="G252" s="1357"/>
      <c r="H252" s="1357"/>
      <c r="I252" s="1357"/>
      <c r="J252" s="1357"/>
      <c r="K252" s="1357"/>
      <c r="L252" s="1357"/>
      <c r="M252" s="1357"/>
      <c r="N252" s="1357"/>
      <c r="O252" s="1357"/>
      <c r="P252" s="1357"/>
      <c r="Q252" s="1357"/>
      <c r="R252" s="1357"/>
      <c r="S252" s="1357"/>
      <c r="T252" s="1357"/>
      <c r="U252" s="1357"/>
      <c r="V252" s="1357"/>
      <c r="W252" s="1357"/>
      <c r="X252" s="1357"/>
      <c r="Y252" s="1357"/>
      <c r="Z252" s="1357"/>
      <c r="AA252" s="1360"/>
    </row>
    <row r="253" spans="2:27" x14ac:dyDescent="0.25">
      <c r="B253" s="540"/>
      <c r="C253" s="541" t="s">
        <v>75</v>
      </c>
      <c r="D253" s="541"/>
      <c r="E253" s="541"/>
      <c r="F253" s="541"/>
      <c r="G253" s="1357">
        <v>0</v>
      </c>
      <c r="H253" s="1357">
        <f>G256</f>
        <v>0</v>
      </c>
      <c r="I253" s="1357">
        <f t="shared" ref="I253:W253" si="86">H256</f>
        <v>0</v>
      </c>
      <c r="J253" s="1357">
        <f t="shared" si="86"/>
        <v>0</v>
      </c>
      <c r="K253" s="1357">
        <f t="shared" si="86"/>
        <v>0</v>
      </c>
      <c r="L253" s="1357">
        <f t="shared" si="86"/>
        <v>0</v>
      </c>
      <c r="M253" s="1357">
        <f t="shared" si="86"/>
        <v>0</v>
      </c>
      <c r="N253" s="1357">
        <f t="shared" si="86"/>
        <v>0</v>
      </c>
      <c r="O253" s="1357">
        <f t="shared" si="86"/>
        <v>0</v>
      </c>
      <c r="P253" s="1357">
        <f t="shared" si="86"/>
        <v>0</v>
      </c>
      <c r="Q253" s="1357">
        <f t="shared" si="86"/>
        <v>0</v>
      </c>
      <c r="R253" s="1357">
        <f t="shared" si="86"/>
        <v>0</v>
      </c>
      <c r="S253" s="1357">
        <f t="shared" si="86"/>
        <v>0</v>
      </c>
      <c r="T253" s="1357">
        <f t="shared" si="86"/>
        <v>0</v>
      </c>
      <c r="U253" s="1357">
        <f t="shared" si="86"/>
        <v>0</v>
      </c>
      <c r="V253" s="1357">
        <f t="shared" si="86"/>
        <v>0</v>
      </c>
      <c r="W253" s="1357">
        <f t="shared" si="86"/>
        <v>0</v>
      </c>
      <c r="X253" s="1357">
        <f>W256</f>
        <v>0</v>
      </c>
      <c r="Y253" s="1357">
        <f>X256</f>
        <v>0</v>
      </c>
      <c r="Z253" s="1357">
        <f>Y256</f>
        <v>0</v>
      </c>
      <c r="AA253" s="1360">
        <f>Z256</f>
        <v>0</v>
      </c>
    </row>
    <row r="254" spans="2:27" x14ac:dyDescent="0.25">
      <c r="B254" s="540"/>
      <c r="C254" s="541" t="s">
        <v>76</v>
      </c>
      <c r="D254" s="541"/>
      <c r="E254" s="541"/>
      <c r="F254" s="541"/>
      <c r="G254" s="1357">
        <f>G243</f>
        <v>0</v>
      </c>
      <c r="H254" s="1357">
        <v>0</v>
      </c>
      <c r="I254" s="1357">
        <v>0</v>
      </c>
      <c r="J254" s="1357">
        <v>0</v>
      </c>
      <c r="K254" s="1357">
        <v>0</v>
      </c>
      <c r="L254" s="1357">
        <v>0</v>
      </c>
      <c r="M254" s="1357">
        <v>0</v>
      </c>
      <c r="N254" s="1357">
        <v>0</v>
      </c>
      <c r="O254" s="1357">
        <v>0</v>
      </c>
      <c r="P254" s="1357">
        <v>0</v>
      </c>
      <c r="Q254" s="1357">
        <v>0</v>
      </c>
      <c r="R254" s="1357">
        <v>0</v>
      </c>
      <c r="S254" s="1357">
        <v>0</v>
      </c>
      <c r="T254" s="1357">
        <v>0</v>
      </c>
      <c r="U254" s="1357">
        <v>0</v>
      </c>
      <c r="V254" s="1357">
        <v>0</v>
      </c>
      <c r="W254" s="1357">
        <v>0</v>
      </c>
      <c r="X254" s="1357">
        <v>0</v>
      </c>
      <c r="Y254" s="1357">
        <v>0</v>
      </c>
      <c r="Z254" s="1357">
        <v>0</v>
      </c>
      <c r="AA254" s="1360">
        <v>0</v>
      </c>
    </row>
    <row r="255" spans="2:27" x14ac:dyDescent="0.25">
      <c r="B255" s="540"/>
      <c r="C255" s="551" t="s">
        <v>77</v>
      </c>
      <c r="D255" s="551"/>
      <c r="E255" s="551"/>
      <c r="F255" s="551"/>
      <c r="G255" s="1361">
        <v>0</v>
      </c>
      <c r="H255" s="1361">
        <f>-H249</f>
        <v>0</v>
      </c>
      <c r="I255" s="1361">
        <f t="shared" ref="I255:W255" si="87">-I249</f>
        <v>0</v>
      </c>
      <c r="J255" s="1361">
        <f t="shared" si="87"/>
        <v>0</v>
      </c>
      <c r="K255" s="1361">
        <f t="shared" si="87"/>
        <v>0</v>
      </c>
      <c r="L255" s="1361">
        <f t="shared" si="87"/>
        <v>0</v>
      </c>
      <c r="M255" s="1361">
        <f t="shared" si="87"/>
        <v>0</v>
      </c>
      <c r="N255" s="1361">
        <f t="shared" si="87"/>
        <v>0</v>
      </c>
      <c r="O255" s="1361">
        <f t="shared" si="87"/>
        <v>0</v>
      </c>
      <c r="P255" s="1361">
        <f t="shared" si="87"/>
        <v>0</v>
      </c>
      <c r="Q255" s="1361">
        <f t="shared" si="87"/>
        <v>0</v>
      </c>
      <c r="R255" s="1361">
        <f t="shared" si="87"/>
        <v>0</v>
      </c>
      <c r="S255" s="1361">
        <f t="shared" si="87"/>
        <v>0</v>
      </c>
      <c r="T255" s="1361">
        <f t="shared" si="87"/>
        <v>0</v>
      </c>
      <c r="U255" s="1361">
        <f t="shared" si="87"/>
        <v>0</v>
      </c>
      <c r="V255" s="1361">
        <f t="shared" si="87"/>
        <v>0</v>
      </c>
      <c r="W255" s="1361">
        <f t="shared" si="87"/>
        <v>0</v>
      </c>
      <c r="X255" s="1361">
        <f>-X249</f>
        <v>0</v>
      </c>
      <c r="Y255" s="1361">
        <f>-Y249</f>
        <v>0</v>
      </c>
      <c r="Z255" s="1361">
        <f>-Z249</f>
        <v>0</v>
      </c>
      <c r="AA255" s="1362">
        <f>-AA249</f>
        <v>0</v>
      </c>
    </row>
    <row r="256" spans="2:27" x14ac:dyDescent="0.25">
      <c r="B256" s="540"/>
      <c r="C256" s="541" t="s">
        <v>66</v>
      </c>
      <c r="D256" s="541"/>
      <c r="E256" s="541"/>
      <c r="F256" s="541"/>
      <c r="G256" s="1357">
        <f>SUM(G253:G255)</f>
        <v>0</v>
      </c>
      <c r="H256" s="1357">
        <f>SUM(H253:H255)</f>
        <v>0</v>
      </c>
      <c r="I256" s="1357">
        <f t="shared" ref="I256:W256" si="88">SUM(I253:I255)</f>
        <v>0</v>
      </c>
      <c r="J256" s="1357">
        <f t="shared" si="88"/>
        <v>0</v>
      </c>
      <c r="K256" s="1357">
        <f t="shared" si="88"/>
        <v>0</v>
      </c>
      <c r="L256" s="1357">
        <f t="shared" si="88"/>
        <v>0</v>
      </c>
      <c r="M256" s="1357">
        <f t="shared" si="88"/>
        <v>0</v>
      </c>
      <c r="N256" s="1357">
        <f t="shared" si="88"/>
        <v>0</v>
      </c>
      <c r="O256" s="1357">
        <f t="shared" si="88"/>
        <v>0</v>
      </c>
      <c r="P256" s="1357">
        <f t="shared" si="88"/>
        <v>0</v>
      </c>
      <c r="Q256" s="1357">
        <f t="shared" si="88"/>
        <v>0</v>
      </c>
      <c r="R256" s="1357">
        <f t="shared" si="88"/>
        <v>0</v>
      </c>
      <c r="S256" s="1357">
        <f t="shared" si="88"/>
        <v>0</v>
      </c>
      <c r="T256" s="1357">
        <f t="shared" si="88"/>
        <v>0</v>
      </c>
      <c r="U256" s="1357">
        <f t="shared" si="88"/>
        <v>0</v>
      </c>
      <c r="V256" s="1357">
        <f t="shared" si="88"/>
        <v>0</v>
      </c>
      <c r="W256" s="1357">
        <f t="shared" si="88"/>
        <v>0</v>
      </c>
      <c r="X256" s="1357">
        <f>SUM(X253:X255)</f>
        <v>0</v>
      </c>
      <c r="Y256" s="1357">
        <f>SUM(Y253:Y255)</f>
        <v>0</v>
      </c>
      <c r="Z256" s="1357">
        <f>SUM(Z253:Z255)</f>
        <v>0</v>
      </c>
      <c r="AA256" s="1360">
        <f>SUM(AA253:AA255)</f>
        <v>0</v>
      </c>
    </row>
    <row r="257" spans="2:27" x14ac:dyDescent="0.25">
      <c r="B257" s="540"/>
      <c r="C257" s="541"/>
      <c r="D257" s="541"/>
      <c r="E257" s="541"/>
      <c r="F257" s="541"/>
      <c r="G257" s="1357"/>
      <c r="H257" s="1357"/>
      <c r="I257" s="1357"/>
      <c r="J257" s="1357"/>
      <c r="K257" s="1357"/>
      <c r="L257" s="1357"/>
      <c r="M257" s="1357"/>
      <c r="N257" s="1357"/>
      <c r="O257" s="1357"/>
      <c r="P257" s="1357"/>
      <c r="Q257" s="1357"/>
      <c r="R257" s="1357"/>
      <c r="S257" s="1357"/>
      <c r="T257" s="1357"/>
      <c r="U257" s="1357"/>
      <c r="V257" s="1357"/>
      <c r="W257" s="1357"/>
      <c r="X257" s="1357"/>
      <c r="Y257" s="1357"/>
      <c r="Z257" s="1357"/>
      <c r="AA257" s="1360"/>
    </row>
    <row r="258" spans="2:27" x14ac:dyDescent="0.25">
      <c r="B258" s="540"/>
      <c r="C258" s="603" t="s">
        <v>71</v>
      </c>
      <c r="D258" s="541"/>
      <c r="E258" s="541"/>
      <c r="F258" s="541"/>
      <c r="G258" s="1357"/>
      <c r="H258" s="1357"/>
      <c r="I258" s="1357"/>
      <c r="J258" s="1357"/>
      <c r="K258" s="1357"/>
      <c r="L258" s="1357"/>
      <c r="M258" s="1357"/>
      <c r="N258" s="1357"/>
      <c r="O258" s="1357"/>
      <c r="P258" s="1357"/>
      <c r="Q258" s="1357"/>
      <c r="R258" s="1357"/>
      <c r="S258" s="1357"/>
      <c r="T258" s="1357"/>
      <c r="U258" s="1357"/>
      <c r="V258" s="1357"/>
      <c r="W258" s="1357"/>
      <c r="X258" s="1357"/>
      <c r="Y258" s="1357"/>
      <c r="Z258" s="1357"/>
      <c r="AA258" s="1360"/>
    </row>
    <row r="259" spans="2:27" x14ac:dyDescent="0.25">
      <c r="B259" s="540"/>
      <c r="C259" s="541" t="s">
        <v>232</v>
      </c>
      <c r="D259" s="541"/>
      <c r="E259" s="541"/>
      <c r="F259" s="541"/>
      <c r="G259" s="1357"/>
      <c r="H259" s="1357">
        <f>IF($G$243&gt;0, $G$243*'III. Inputs, Renewable Energy'!$S$50/10000,0)</f>
        <v>0</v>
      </c>
      <c r="I259" s="1357">
        <v>0</v>
      </c>
      <c r="J259" s="1357">
        <v>0</v>
      </c>
      <c r="K259" s="1357">
        <v>0</v>
      </c>
      <c r="L259" s="1357">
        <v>0</v>
      </c>
      <c r="M259" s="1357">
        <v>0</v>
      </c>
      <c r="N259" s="1357">
        <v>0</v>
      </c>
      <c r="O259" s="1357">
        <v>0</v>
      </c>
      <c r="P259" s="1357">
        <v>0</v>
      </c>
      <c r="Q259" s="1357">
        <v>0</v>
      </c>
      <c r="R259" s="1357">
        <v>0</v>
      </c>
      <c r="S259" s="1357">
        <v>0</v>
      </c>
      <c r="T259" s="1357">
        <v>0</v>
      </c>
      <c r="U259" s="1357">
        <v>0</v>
      </c>
      <c r="V259" s="1357">
        <v>0</v>
      </c>
      <c r="W259" s="1357">
        <v>0</v>
      </c>
      <c r="X259" s="1357">
        <v>0</v>
      </c>
      <c r="Y259" s="1357">
        <v>0</v>
      </c>
      <c r="Z259" s="1357">
        <v>0</v>
      </c>
      <c r="AA259" s="1360">
        <v>0</v>
      </c>
    </row>
    <row r="260" spans="2:27" x14ac:dyDescent="0.2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2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x14ac:dyDescent="0.25">
      <c r="B262" s="553" t="s">
        <v>86</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25">
      <c r="B263" s="540"/>
      <c r="C263" s="599" t="s">
        <v>84</v>
      </c>
      <c r="D263" s="541"/>
      <c r="E263" s="541"/>
      <c r="F263" s="1357">
        <f>IF('III. Inputs, Renewable Energy'!$S$189&gt;0, 'III. Inputs, Renewable Energy'!$U$15*'III. Inputs, Renewable Energy'!$U$14*'III. Inputs, Renewable Energy'!$S$28*'III. Inputs, Renewable Energy'!$S$189,0)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25">
      <c r="B264" s="540"/>
      <c r="C264" s="599" t="str">
        <f>'III. Inputs, Renewable Energy'!N190</f>
        <v xml:space="preserve">Term of Political Risk Insurance </v>
      </c>
      <c r="D264" s="541"/>
      <c r="E264" s="541"/>
      <c r="F264" s="555">
        <f>'III. Inputs, Renewable Energy'!S190</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25">
      <c r="B265" s="540"/>
      <c r="C265" s="599" t="str">
        <f>'III. Inputs, Renewable Energy'!N191</f>
        <v xml:space="preserve">Front-end Fee </v>
      </c>
      <c r="D265" s="541"/>
      <c r="E265" s="541"/>
      <c r="F265" s="555">
        <f>'III. Inputs, Renewable Energy'!S191</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25">
      <c r="B266" s="540"/>
      <c r="C266" s="599" t="str">
        <f>'III. Inputs, Renewable Energy'!N192</f>
        <v xml:space="preserve">Annual Political Risk Insurance Premium </v>
      </c>
      <c r="D266" s="541"/>
      <c r="E266" s="541"/>
      <c r="F266" s="555">
        <f>'III. Inputs, Renewable Energy'!S192</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2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25">
      <c r="B268" s="540"/>
      <c r="C268" s="603" t="s">
        <v>71</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25">
      <c r="B269" s="540"/>
      <c r="C269" s="541" t="str">
        <f>'III. Inputs, Renewable Energy'!N191</f>
        <v xml:space="preserve">Front-end Fee </v>
      </c>
      <c r="D269" s="541"/>
      <c r="E269" s="541"/>
      <c r="F269" s="541"/>
      <c r="G269" s="541"/>
      <c r="H269" s="1357">
        <f>IF(F263&gt;0, F263*F265/10000, 0)</f>
        <v>0</v>
      </c>
      <c r="I269" s="1382">
        <v>0</v>
      </c>
      <c r="J269" s="1382">
        <v>0</v>
      </c>
      <c r="K269" s="1382">
        <v>0</v>
      </c>
      <c r="L269" s="1382">
        <v>0</v>
      </c>
      <c r="M269" s="1382">
        <v>0</v>
      </c>
      <c r="N269" s="1382">
        <v>0</v>
      </c>
      <c r="O269" s="1382">
        <v>0</v>
      </c>
      <c r="P269" s="1382">
        <v>0</v>
      </c>
      <c r="Q269" s="1382">
        <v>0</v>
      </c>
      <c r="R269" s="1382">
        <v>0</v>
      </c>
      <c r="S269" s="1382">
        <v>0</v>
      </c>
      <c r="T269" s="1382">
        <v>0</v>
      </c>
      <c r="U269" s="1382">
        <v>0</v>
      </c>
      <c r="V269" s="1382">
        <v>0</v>
      </c>
      <c r="W269" s="1382">
        <v>0</v>
      </c>
      <c r="X269" s="1382">
        <v>0</v>
      </c>
      <c r="Y269" s="1382">
        <v>0</v>
      </c>
      <c r="Z269" s="1382">
        <v>0</v>
      </c>
      <c r="AA269" s="1383">
        <v>0</v>
      </c>
    </row>
    <row r="270" spans="2:27" x14ac:dyDescent="0.25">
      <c r="B270" s="540"/>
      <c r="C270" s="551" t="str">
        <f>'III. Inputs, Renewable Energy'!N192</f>
        <v xml:space="preserve">Annual Political Risk Insurance Premium </v>
      </c>
      <c r="D270" s="551"/>
      <c r="E270" s="551"/>
      <c r="F270" s="551"/>
      <c r="G270" s="551"/>
      <c r="H270" s="1361">
        <f>IF(H196&gt;$F$264,0,($F$263*$F$266/10000))</f>
        <v>0</v>
      </c>
      <c r="I270" s="1361">
        <f t="shared" ref="I270:AA270" si="89">IF(I196&gt;$F$264,0,($F$263*$F$266/10000))</f>
        <v>0</v>
      </c>
      <c r="J270" s="1361">
        <f t="shared" si="89"/>
        <v>0</v>
      </c>
      <c r="K270" s="1361">
        <f t="shared" si="89"/>
        <v>0</v>
      </c>
      <c r="L270" s="1361">
        <f t="shared" si="89"/>
        <v>0</v>
      </c>
      <c r="M270" s="1361">
        <f t="shared" si="89"/>
        <v>0</v>
      </c>
      <c r="N270" s="1361">
        <f t="shared" si="89"/>
        <v>0</v>
      </c>
      <c r="O270" s="1361">
        <f t="shared" si="89"/>
        <v>0</v>
      </c>
      <c r="P270" s="1361">
        <f t="shared" si="89"/>
        <v>0</v>
      </c>
      <c r="Q270" s="1361">
        <f t="shared" si="89"/>
        <v>0</v>
      </c>
      <c r="R270" s="1361">
        <f t="shared" si="89"/>
        <v>0</v>
      </c>
      <c r="S270" s="1361">
        <f t="shared" si="89"/>
        <v>0</v>
      </c>
      <c r="T270" s="1361">
        <f t="shared" si="89"/>
        <v>0</v>
      </c>
      <c r="U270" s="1361">
        <f t="shared" si="89"/>
        <v>0</v>
      </c>
      <c r="V270" s="1361">
        <f t="shared" si="89"/>
        <v>0</v>
      </c>
      <c r="W270" s="1361">
        <f t="shared" si="89"/>
        <v>0</v>
      </c>
      <c r="X270" s="1361">
        <f t="shared" si="89"/>
        <v>0</v>
      </c>
      <c r="Y270" s="1361">
        <f t="shared" si="89"/>
        <v>0</v>
      </c>
      <c r="Z270" s="1361">
        <f t="shared" si="89"/>
        <v>0</v>
      </c>
      <c r="AA270" s="1362">
        <f t="shared" si="89"/>
        <v>0</v>
      </c>
    </row>
    <row r="271" spans="2:27" x14ac:dyDescent="0.25">
      <c r="B271" s="540"/>
      <c r="C271" s="541" t="s">
        <v>85</v>
      </c>
      <c r="D271" s="541"/>
      <c r="E271" s="541"/>
      <c r="F271" s="541"/>
      <c r="G271" s="541"/>
      <c r="H271" s="1357">
        <f>H269+H270</f>
        <v>0</v>
      </c>
      <c r="I271" s="1357">
        <f t="shared" ref="I271:AA271" si="90">I269+I270</f>
        <v>0</v>
      </c>
      <c r="J271" s="1357">
        <f t="shared" si="90"/>
        <v>0</v>
      </c>
      <c r="K271" s="1357">
        <f t="shared" si="90"/>
        <v>0</v>
      </c>
      <c r="L271" s="1357">
        <f t="shared" si="90"/>
        <v>0</v>
      </c>
      <c r="M271" s="1357">
        <f t="shared" si="90"/>
        <v>0</v>
      </c>
      <c r="N271" s="1357">
        <f t="shared" si="90"/>
        <v>0</v>
      </c>
      <c r="O271" s="1357">
        <f t="shared" si="90"/>
        <v>0</v>
      </c>
      <c r="P271" s="1357">
        <f t="shared" si="90"/>
        <v>0</v>
      </c>
      <c r="Q271" s="1357">
        <f t="shared" si="90"/>
        <v>0</v>
      </c>
      <c r="R271" s="1357">
        <f t="shared" si="90"/>
        <v>0</v>
      </c>
      <c r="S271" s="1357">
        <f t="shared" si="90"/>
        <v>0</v>
      </c>
      <c r="T271" s="1357">
        <f t="shared" si="90"/>
        <v>0</v>
      </c>
      <c r="U271" s="1357">
        <f t="shared" si="90"/>
        <v>0</v>
      </c>
      <c r="V271" s="1357">
        <f t="shared" si="90"/>
        <v>0</v>
      </c>
      <c r="W271" s="1357">
        <f t="shared" si="90"/>
        <v>0</v>
      </c>
      <c r="X271" s="1357">
        <f t="shared" si="90"/>
        <v>0</v>
      </c>
      <c r="Y271" s="1357">
        <f t="shared" si="90"/>
        <v>0</v>
      </c>
      <c r="Z271" s="1357">
        <f t="shared" si="90"/>
        <v>0</v>
      </c>
      <c r="AA271" s="1360">
        <f t="shared" si="90"/>
        <v>0</v>
      </c>
    </row>
    <row r="272" spans="2:27" ht="13.8" thickBot="1" x14ac:dyDescent="0.3">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7" s="36" customFormat="1" ht="13.8" thickBot="1" x14ac:dyDescent="0.3"/>
    <row r="274" spans="2:27" x14ac:dyDescent="0.25">
      <c r="B274" s="605" t="s">
        <v>484</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7" x14ac:dyDescent="0.25">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7" x14ac:dyDescent="0.25">
      <c r="B276" s="608" t="s">
        <v>257</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7" x14ac:dyDescent="0.25">
      <c r="B277" s="611"/>
      <c r="C277" s="612" t="s">
        <v>68</v>
      </c>
      <c r="D277" s="613" t="s">
        <v>22</v>
      </c>
      <c r="E277" s="609"/>
      <c r="F277" s="609"/>
      <c r="G277" s="1384">
        <f>IF('III. Inputs, Renewable Energy'!$V$31&gt;0, 'III. Inputs, Renewable Energy'!$U$14*'III. Inputs, Renewable Energy'!$U$15*'III. Inputs, Renewable Energy'!$V$29*SUM('III. Inputs, Renewable Energy'!$V$31), 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7" x14ac:dyDescent="0.25">
      <c r="B278" s="611"/>
      <c r="C278" s="612" t="s">
        <v>69</v>
      </c>
      <c r="D278" s="613" t="s">
        <v>20</v>
      </c>
      <c r="E278" s="609"/>
      <c r="F278" s="609"/>
      <c r="G278" s="614">
        <f>SUM('III. Inputs, Renewable Energy'!$V$43)</f>
        <v>0</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7" x14ac:dyDescent="0.25">
      <c r="B279" s="611"/>
      <c r="C279" s="612" t="s">
        <v>70</v>
      </c>
      <c r="D279" s="613" t="s">
        <v>16</v>
      </c>
      <c r="E279" s="609"/>
      <c r="F279" s="609"/>
      <c r="G279" s="615">
        <f>SUM('III. Inputs, Renewable Energy'!$V$38)</f>
        <v>0</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7" x14ac:dyDescent="0.2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7" x14ac:dyDescent="0.25">
      <c r="B281" s="611"/>
      <c r="C281" s="616" t="s">
        <v>67</v>
      </c>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10"/>
    </row>
    <row r="282" spans="2:27" x14ac:dyDescent="0.25">
      <c r="B282" s="611"/>
      <c r="C282" s="609" t="s">
        <v>73</v>
      </c>
      <c r="D282" s="609"/>
      <c r="E282" s="609"/>
      <c r="F282" s="609"/>
      <c r="G282" s="1384"/>
      <c r="H282" s="1384">
        <f>IF($G$277=0,0,IF(H$196&gt;$G$278,0,IPMT($G$279,H$196,$G$278,-$G$277)))</f>
        <v>0</v>
      </c>
      <c r="I282" s="1384">
        <f t="shared" ref="I282:AA282" si="91">IF($G$277=0,0,IF(I$196&gt;$G$278,0,IPMT($G$279,I$196,$G$278,-$G$277)))</f>
        <v>0</v>
      </c>
      <c r="J282" s="1384">
        <f t="shared" si="91"/>
        <v>0</v>
      </c>
      <c r="K282" s="1384">
        <f t="shared" si="91"/>
        <v>0</v>
      </c>
      <c r="L282" s="1384">
        <f t="shared" si="91"/>
        <v>0</v>
      </c>
      <c r="M282" s="1384">
        <f t="shared" si="91"/>
        <v>0</v>
      </c>
      <c r="N282" s="1384">
        <f t="shared" si="91"/>
        <v>0</v>
      </c>
      <c r="O282" s="1384">
        <f t="shared" si="91"/>
        <v>0</v>
      </c>
      <c r="P282" s="1384">
        <f t="shared" si="91"/>
        <v>0</v>
      </c>
      <c r="Q282" s="1384">
        <f t="shared" si="91"/>
        <v>0</v>
      </c>
      <c r="R282" s="1384">
        <f t="shared" si="91"/>
        <v>0</v>
      </c>
      <c r="S282" s="1384">
        <f t="shared" si="91"/>
        <v>0</v>
      </c>
      <c r="T282" s="1384">
        <f t="shared" si="91"/>
        <v>0</v>
      </c>
      <c r="U282" s="1384">
        <f t="shared" si="91"/>
        <v>0</v>
      </c>
      <c r="V282" s="1384">
        <f t="shared" si="91"/>
        <v>0</v>
      </c>
      <c r="W282" s="1384">
        <f t="shared" si="91"/>
        <v>0</v>
      </c>
      <c r="X282" s="1384">
        <f t="shared" si="91"/>
        <v>0</v>
      </c>
      <c r="Y282" s="1384">
        <f t="shared" si="91"/>
        <v>0</v>
      </c>
      <c r="Z282" s="1384">
        <f t="shared" si="91"/>
        <v>0</v>
      </c>
      <c r="AA282" s="1385">
        <f t="shared" si="91"/>
        <v>0</v>
      </c>
    </row>
    <row r="283" spans="2:27" x14ac:dyDescent="0.25">
      <c r="B283" s="611"/>
      <c r="C283" s="617" t="s">
        <v>72</v>
      </c>
      <c r="D283" s="617"/>
      <c r="E283" s="617"/>
      <c r="F283" s="617"/>
      <c r="G283" s="1386"/>
      <c r="H283" s="1386">
        <f>IF($G$277=0,0,IF(H$196&gt;$G$278,0,PPMT($G$279,H$196,$G$278,-$G$277)))</f>
        <v>0</v>
      </c>
      <c r="I283" s="1386">
        <f t="shared" ref="I283:AA283" si="92">IF($G$277=0,0,IF(I$196&gt;$G$278,0,PPMT($G$279,I$196,$G$278,-$G$277)))</f>
        <v>0</v>
      </c>
      <c r="J283" s="1386">
        <f t="shared" si="92"/>
        <v>0</v>
      </c>
      <c r="K283" s="1386">
        <f t="shared" si="92"/>
        <v>0</v>
      </c>
      <c r="L283" s="1386">
        <f t="shared" si="92"/>
        <v>0</v>
      </c>
      <c r="M283" s="1386">
        <f t="shared" si="92"/>
        <v>0</v>
      </c>
      <c r="N283" s="1386">
        <f t="shared" si="92"/>
        <v>0</v>
      </c>
      <c r="O283" s="1386">
        <f t="shared" si="92"/>
        <v>0</v>
      </c>
      <c r="P283" s="1386">
        <f t="shared" si="92"/>
        <v>0</v>
      </c>
      <c r="Q283" s="1386">
        <f t="shared" si="92"/>
        <v>0</v>
      </c>
      <c r="R283" s="1386">
        <f t="shared" si="92"/>
        <v>0</v>
      </c>
      <c r="S283" s="1386">
        <f t="shared" si="92"/>
        <v>0</v>
      </c>
      <c r="T283" s="1386">
        <f t="shared" si="92"/>
        <v>0</v>
      </c>
      <c r="U283" s="1386">
        <f t="shared" si="92"/>
        <v>0</v>
      </c>
      <c r="V283" s="1386">
        <f t="shared" si="92"/>
        <v>0</v>
      </c>
      <c r="W283" s="1386">
        <f t="shared" si="92"/>
        <v>0</v>
      </c>
      <c r="X283" s="1386">
        <f t="shared" si="92"/>
        <v>0</v>
      </c>
      <c r="Y283" s="1386">
        <f t="shared" si="92"/>
        <v>0</v>
      </c>
      <c r="Z283" s="1386">
        <f t="shared" si="92"/>
        <v>0</v>
      </c>
      <c r="AA283" s="1387">
        <f t="shared" si="92"/>
        <v>0</v>
      </c>
    </row>
    <row r="284" spans="2:27" x14ac:dyDescent="0.25">
      <c r="B284" s="611"/>
      <c r="C284" s="609" t="s">
        <v>74</v>
      </c>
      <c r="D284" s="609"/>
      <c r="E284" s="609"/>
      <c r="F284" s="609"/>
      <c r="G284" s="1384"/>
      <c r="H284" s="1384">
        <f>SUM(H282:H283)</f>
        <v>0</v>
      </c>
      <c r="I284" s="1384">
        <f t="shared" ref="I284:AA284" si="93">SUM(I282:I283)</f>
        <v>0</v>
      </c>
      <c r="J284" s="1384">
        <f t="shared" si="93"/>
        <v>0</v>
      </c>
      <c r="K284" s="1384">
        <f t="shared" si="93"/>
        <v>0</v>
      </c>
      <c r="L284" s="1384">
        <f t="shared" si="93"/>
        <v>0</v>
      </c>
      <c r="M284" s="1384">
        <f t="shared" si="93"/>
        <v>0</v>
      </c>
      <c r="N284" s="1384">
        <f t="shared" si="93"/>
        <v>0</v>
      </c>
      <c r="O284" s="1384">
        <f t="shared" si="93"/>
        <v>0</v>
      </c>
      <c r="P284" s="1384">
        <f t="shared" si="93"/>
        <v>0</v>
      </c>
      <c r="Q284" s="1384">
        <f t="shared" si="93"/>
        <v>0</v>
      </c>
      <c r="R284" s="1384">
        <f t="shared" si="93"/>
        <v>0</v>
      </c>
      <c r="S284" s="1384">
        <f t="shared" si="93"/>
        <v>0</v>
      </c>
      <c r="T284" s="1384">
        <f t="shared" si="93"/>
        <v>0</v>
      </c>
      <c r="U284" s="1384">
        <f t="shared" si="93"/>
        <v>0</v>
      </c>
      <c r="V284" s="1384">
        <f t="shared" si="93"/>
        <v>0</v>
      </c>
      <c r="W284" s="1384">
        <f t="shared" si="93"/>
        <v>0</v>
      </c>
      <c r="X284" s="1384">
        <f t="shared" si="93"/>
        <v>0</v>
      </c>
      <c r="Y284" s="1384">
        <f t="shared" si="93"/>
        <v>0</v>
      </c>
      <c r="Z284" s="1384">
        <f t="shared" si="93"/>
        <v>0</v>
      </c>
      <c r="AA284" s="1385">
        <f t="shared" si="93"/>
        <v>0</v>
      </c>
    </row>
    <row r="285" spans="2:27" x14ac:dyDescent="0.25">
      <c r="B285" s="611"/>
      <c r="C285" s="609"/>
      <c r="D285" s="609"/>
      <c r="E285" s="609"/>
      <c r="F285" s="609"/>
      <c r="G285" s="1384"/>
      <c r="H285" s="1384"/>
      <c r="I285" s="1384"/>
      <c r="J285" s="1384"/>
      <c r="K285" s="1384"/>
      <c r="L285" s="1384"/>
      <c r="M285" s="1384"/>
      <c r="N285" s="1384"/>
      <c r="O285" s="1384"/>
      <c r="P285" s="1384"/>
      <c r="Q285" s="1384"/>
      <c r="R285" s="1384"/>
      <c r="S285" s="1384"/>
      <c r="T285" s="1384"/>
      <c r="U285" s="1384"/>
      <c r="V285" s="1384"/>
      <c r="W285" s="1384"/>
      <c r="X285" s="1384"/>
      <c r="Y285" s="1384"/>
      <c r="Z285" s="1384"/>
      <c r="AA285" s="1385"/>
    </row>
    <row r="286" spans="2:27" x14ac:dyDescent="0.25">
      <c r="B286" s="611"/>
      <c r="C286" s="618" t="s">
        <v>65</v>
      </c>
      <c r="D286" s="609"/>
      <c r="E286" s="609"/>
      <c r="F286" s="609"/>
      <c r="G286" s="1384"/>
      <c r="H286" s="1384"/>
      <c r="I286" s="1384"/>
      <c r="J286" s="1384"/>
      <c r="K286" s="1384"/>
      <c r="L286" s="1384"/>
      <c r="M286" s="1384"/>
      <c r="N286" s="1384"/>
      <c r="O286" s="1384"/>
      <c r="P286" s="1384"/>
      <c r="Q286" s="1384"/>
      <c r="R286" s="1384"/>
      <c r="S286" s="1384"/>
      <c r="T286" s="1384"/>
      <c r="U286" s="1384"/>
      <c r="V286" s="1384"/>
      <c r="W286" s="1384"/>
      <c r="X286" s="1384"/>
      <c r="Y286" s="1384"/>
      <c r="Z286" s="1384"/>
      <c r="AA286" s="1385"/>
    </row>
    <row r="287" spans="2:27" x14ac:dyDescent="0.25">
      <c r="B287" s="611"/>
      <c r="C287" s="609" t="s">
        <v>75</v>
      </c>
      <c r="D287" s="609"/>
      <c r="E287" s="609"/>
      <c r="F287" s="609"/>
      <c r="G287" s="1384">
        <v>0</v>
      </c>
      <c r="H287" s="1384">
        <f t="shared" ref="H287:AA287" si="94">G290</f>
        <v>0</v>
      </c>
      <c r="I287" s="1384">
        <f t="shared" si="94"/>
        <v>0</v>
      </c>
      <c r="J287" s="1384">
        <f t="shared" si="94"/>
        <v>0</v>
      </c>
      <c r="K287" s="1384">
        <f t="shared" si="94"/>
        <v>0</v>
      </c>
      <c r="L287" s="1384">
        <f t="shared" si="94"/>
        <v>0</v>
      </c>
      <c r="M287" s="1384">
        <f t="shared" si="94"/>
        <v>0</v>
      </c>
      <c r="N287" s="1384">
        <f t="shared" si="94"/>
        <v>0</v>
      </c>
      <c r="O287" s="1384">
        <f t="shared" si="94"/>
        <v>0</v>
      </c>
      <c r="P287" s="1384">
        <f t="shared" si="94"/>
        <v>0</v>
      </c>
      <c r="Q287" s="1384">
        <f t="shared" si="94"/>
        <v>0</v>
      </c>
      <c r="R287" s="1384">
        <f t="shared" si="94"/>
        <v>0</v>
      </c>
      <c r="S287" s="1384">
        <f t="shared" si="94"/>
        <v>0</v>
      </c>
      <c r="T287" s="1384">
        <f t="shared" si="94"/>
        <v>0</v>
      </c>
      <c r="U287" s="1384">
        <f t="shared" si="94"/>
        <v>0</v>
      </c>
      <c r="V287" s="1384">
        <f t="shared" si="94"/>
        <v>0</v>
      </c>
      <c r="W287" s="1384">
        <f t="shared" si="94"/>
        <v>0</v>
      </c>
      <c r="X287" s="1384">
        <f t="shared" si="94"/>
        <v>0</v>
      </c>
      <c r="Y287" s="1384">
        <f t="shared" si="94"/>
        <v>0</v>
      </c>
      <c r="Z287" s="1384">
        <f t="shared" si="94"/>
        <v>0</v>
      </c>
      <c r="AA287" s="1385">
        <f t="shared" si="94"/>
        <v>0</v>
      </c>
    </row>
    <row r="288" spans="2:27" x14ac:dyDescent="0.25">
      <c r="B288" s="611"/>
      <c r="C288" s="609" t="s">
        <v>76</v>
      </c>
      <c r="D288" s="609"/>
      <c r="E288" s="609"/>
      <c r="F288" s="609"/>
      <c r="G288" s="1384">
        <f>G277</f>
        <v>0</v>
      </c>
      <c r="H288" s="1384">
        <v>0</v>
      </c>
      <c r="I288" s="1384">
        <v>0</v>
      </c>
      <c r="J288" s="1384">
        <v>0</v>
      </c>
      <c r="K288" s="1384">
        <v>0</v>
      </c>
      <c r="L288" s="1384">
        <v>0</v>
      </c>
      <c r="M288" s="1384">
        <v>0</v>
      </c>
      <c r="N288" s="1384">
        <v>0</v>
      </c>
      <c r="O288" s="1384">
        <v>0</v>
      </c>
      <c r="P288" s="1384">
        <v>0</v>
      </c>
      <c r="Q288" s="1384">
        <v>0</v>
      </c>
      <c r="R288" s="1384">
        <v>0</v>
      </c>
      <c r="S288" s="1384">
        <v>0</v>
      </c>
      <c r="T288" s="1384">
        <v>0</v>
      </c>
      <c r="U288" s="1384">
        <v>0</v>
      </c>
      <c r="V288" s="1384">
        <v>0</v>
      </c>
      <c r="W288" s="1384">
        <v>0</v>
      </c>
      <c r="X288" s="1384">
        <v>0</v>
      </c>
      <c r="Y288" s="1384">
        <v>0</v>
      </c>
      <c r="Z288" s="1384">
        <v>0</v>
      </c>
      <c r="AA288" s="1385">
        <v>0</v>
      </c>
    </row>
    <row r="289" spans="2:28" x14ac:dyDescent="0.25">
      <c r="B289" s="611"/>
      <c r="C289" s="617" t="s">
        <v>77</v>
      </c>
      <c r="D289" s="617"/>
      <c r="E289" s="617"/>
      <c r="F289" s="617"/>
      <c r="G289" s="1386">
        <v>0</v>
      </c>
      <c r="H289" s="1386">
        <f t="shared" ref="H289:AA289" si="95">-H283</f>
        <v>0</v>
      </c>
      <c r="I289" s="1386">
        <f t="shared" si="95"/>
        <v>0</v>
      </c>
      <c r="J289" s="1386">
        <f t="shared" si="95"/>
        <v>0</v>
      </c>
      <c r="K289" s="1386">
        <f t="shared" si="95"/>
        <v>0</v>
      </c>
      <c r="L289" s="1386">
        <f t="shared" si="95"/>
        <v>0</v>
      </c>
      <c r="M289" s="1386">
        <f t="shared" si="95"/>
        <v>0</v>
      </c>
      <c r="N289" s="1386">
        <f t="shared" si="95"/>
        <v>0</v>
      </c>
      <c r="O289" s="1386">
        <f t="shared" si="95"/>
        <v>0</v>
      </c>
      <c r="P289" s="1386">
        <f t="shared" si="95"/>
        <v>0</v>
      </c>
      <c r="Q289" s="1386">
        <f t="shared" si="95"/>
        <v>0</v>
      </c>
      <c r="R289" s="1386">
        <f t="shared" si="95"/>
        <v>0</v>
      </c>
      <c r="S289" s="1386">
        <f t="shared" si="95"/>
        <v>0</v>
      </c>
      <c r="T289" s="1386">
        <f t="shared" si="95"/>
        <v>0</v>
      </c>
      <c r="U289" s="1386">
        <f t="shared" si="95"/>
        <v>0</v>
      </c>
      <c r="V289" s="1386">
        <f t="shared" si="95"/>
        <v>0</v>
      </c>
      <c r="W289" s="1386">
        <f t="shared" si="95"/>
        <v>0</v>
      </c>
      <c r="X289" s="1386">
        <f t="shared" si="95"/>
        <v>0</v>
      </c>
      <c r="Y289" s="1386">
        <f t="shared" si="95"/>
        <v>0</v>
      </c>
      <c r="Z289" s="1386">
        <f t="shared" si="95"/>
        <v>0</v>
      </c>
      <c r="AA289" s="1387">
        <f t="shared" si="95"/>
        <v>0</v>
      </c>
    </row>
    <row r="290" spans="2:28" x14ac:dyDescent="0.25">
      <c r="B290" s="611"/>
      <c r="C290" s="609" t="s">
        <v>66</v>
      </c>
      <c r="D290" s="609"/>
      <c r="E290" s="609"/>
      <c r="F290" s="609"/>
      <c r="G290" s="1384">
        <f>SUM(G287:G289)</f>
        <v>0</v>
      </c>
      <c r="H290" s="1384">
        <f t="shared" ref="H290:AA290" si="96">SUM(H287:H289)</f>
        <v>0</v>
      </c>
      <c r="I290" s="1384">
        <f t="shared" si="96"/>
        <v>0</v>
      </c>
      <c r="J290" s="1384">
        <f t="shared" si="96"/>
        <v>0</v>
      </c>
      <c r="K290" s="1384">
        <f t="shared" si="96"/>
        <v>0</v>
      </c>
      <c r="L290" s="1384">
        <f t="shared" si="96"/>
        <v>0</v>
      </c>
      <c r="M290" s="1384">
        <f t="shared" si="96"/>
        <v>0</v>
      </c>
      <c r="N290" s="1384">
        <f t="shared" si="96"/>
        <v>0</v>
      </c>
      <c r="O290" s="1384">
        <f t="shared" si="96"/>
        <v>0</v>
      </c>
      <c r="P290" s="1384">
        <f t="shared" si="96"/>
        <v>0</v>
      </c>
      <c r="Q290" s="1384">
        <f t="shared" si="96"/>
        <v>0</v>
      </c>
      <c r="R290" s="1384">
        <f t="shared" si="96"/>
        <v>0</v>
      </c>
      <c r="S290" s="1384">
        <f t="shared" si="96"/>
        <v>0</v>
      </c>
      <c r="T290" s="1384">
        <f t="shared" si="96"/>
        <v>0</v>
      </c>
      <c r="U290" s="1384">
        <f t="shared" si="96"/>
        <v>0</v>
      </c>
      <c r="V290" s="1384">
        <f t="shared" si="96"/>
        <v>0</v>
      </c>
      <c r="W290" s="1384">
        <f t="shared" si="96"/>
        <v>0</v>
      </c>
      <c r="X290" s="1384">
        <f t="shared" si="96"/>
        <v>0</v>
      </c>
      <c r="Y290" s="1384">
        <f t="shared" si="96"/>
        <v>0</v>
      </c>
      <c r="Z290" s="1384">
        <f t="shared" si="96"/>
        <v>0</v>
      </c>
      <c r="AA290" s="1385">
        <f t="shared" si="96"/>
        <v>0</v>
      </c>
    </row>
    <row r="291" spans="2:28" x14ac:dyDescent="0.25">
      <c r="B291" s="611"/>
      <c r="C291" s="609"/>
      <c r="D291" s="609"/>
      <c r="E291" s="609"/>
      <c r="F291" s="609"/>
      <c r="G291" s="1384"/>
      <c r="H291" s="1384"/>
      <c r="I291" s="1384"/>
      <c r="J291" s="1384"/>
      <c r="K291" s="1384"/>
      <c r="L291" s="1384"/>
      <c r="M291" s="1384"/>
      <c r="N291" s="1384"/>
      <c r="O291" s="1384"/>
      <c r="P291" s="1384"/>
      <c r="Q291" s="1384"/>
      <c r="R291" s="1384"/>
      <c r="S291" s="1384"/>
      <c r="T291" s="1384"/>
      <c r="U291" s="1384"/>
      <c r="V291" s="1384"/>
      <c r="W291" s="1384"/>
      <c r="X291" s="1384"/>
      <c r="Y291" s="1384"/>
      <c r="Z291" s="1384"/>
      <c r="AA291" s="1385"/>
    </row>
    <row r="292" spans="2:28" x14ac:dyDescent="0.25">
      <c r="B292" s="611"/>
      <c r="C292" s="618" t="s">
        <v>71</v>
      </c>
      <c r="D292" s="609"/>
      <c r="E292" s="609"/>
      <c r="F292" s="609"/>
      <c r="G292" s="1384"/>
      <c r="H292" s="1384"/>
      <c r="I292" s="1384"/>
      <c r="J292" s="1384"/>
      <c r="K292" s="1384"/>
      <c r="L292" s="1384"/>
      <c r="M292" s="1384"/>
      <c r="N292" s="1384"/>
      <c r="O292" s="1384"/>
      <c r="P292" s="1384"/>
      <c r="Q292" s="1384"/>
      <c r="R292" s="1384"/>
      <c r="S292" s="1384"/>
      <c r="T292" s="1384"/>
      <c r="U292" s="1384"/>
      <c r="V292" s="1384"/>
      <c r="W292" s="1384"/>
      <c r="X292" s="1384"/>
      <c r="Y292" s="1384"/>
      <c r="Z292" s="1384"/>
      <c r="AA292" s="1385"/>
    </row>
    <row r="293" spans="2:28" x14ac:dyDescent="0.25">
      <c r="B293" s="611"/>
      <c r="C293" s="609" t="s">
        <v>234</v>
      </c>
      <c r="D293" s="609"/>
      <c r="E293" s="609"/>
      <c r="F293" s="609"/>
      <c r="G293" s="1384"/>
      <c r="H293" s="1384">
        <f>IF($G$277&gt;0, $G$277*'III. Inputs, Renewable Energy'!$V$48/10000,0)</f>
        <v>0</v>
      </c>
      <c r="I293" s="1388">
        <v>0</v>
      </c>
      <c r="J293" s="1388">
        <v>0</v>
      </c>
      <c r="K293" s="1388">
        <v>0</v>
      </c>
      <c r="L293" s="1388">
        <v>0</v>
      </c>
      <c r="M293" s="1388">
        <v>0</v>
      </c>
      <c r="N293" s="1388">
        <v>0</v>
      </c>
      <c r="O293" s="1388">
        <v>0</v>
      </c>
      <c r="P293" s="1388">
        <v>0</v>
      </c>
      <c r="Q293" s="1388">
        <v>0</v>
      </c>
      <c r="R293" s="1388">
        <v>0</v>
      </c>
      <c r="S293" s="1388">
        <v>0</v>
      </c>
      <c r="T293" s="1388">
        <v>0</v>
      </c>
      <c r="U293" s="1388">
        <v>0</v>
      </c>
      <c r="V293" s="1388">
        <v>0</v>
      </c>
      <c r="W293" s="1388">
        <v>0</v>
      </c>
      <c r="X293" s="1388">
        <v>0</v>
      </c>
      <c r="Y293" s="1388">
        <v>0</v>
      </c>
      <c r="Z293" s="1388">
        <v>0</v>
      </c>
      <c r="AA293" s="1389">
        <v>0</v>
      </c>
    </row>
    <row r="294" spans="2:28" x14ac:dyDescent="0.2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x14ac:dyDescent="0.25">
      <c r="B295" s="608" t="s">
        <v>179</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25">
      <c r="B296" s="611"/>
      <c r="C296" s="612" t="s">
        <v>68</v>
      </c>
      <c r="D296" s="613" t="s">
        <v>22</v>
      </c>
      <c r="E296" s="609"/>
      <c r="F296" s="609"/>
      <c r="G296" s="1384">
        <f>IF('III. Inputs, Renewable Energy'!$V$32&gt;0, 'III. Inputs, Renewable Energy'!$U$14*'III. Inputs, Renewable Energy'!$U$15*'III. Inputs, Renewable Energy'!$V$29*SUM('III. Inputs, Renewable Energy'!$V$32),0)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25">
      <c r="B297" s="611"/>
      <c r="C297" s="612" t="s">
        <v>69</v>
      </c>
      <c r="D297" s="613" t="s">
        <v>20</v>
      </c>
      <c r="E297" s="609"/>
      <c r="F297" s="609"/>
      <c r="G297" s="614">
        <f>SUM('III. Inputs, Renewable Energy'!$V$44)</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25">
      <c r="B298" s="611"/>
      <c r="C298" s="612" t="s">
        <v>70</v>
      </c>
      <c r="D298" s="613" t="s">
        <v>16</v>
      </c>
      <c r="E298" s="609"/>
      <c r="F298" s="609"/>
      <c r="G298" s="615">
        <f>SUM('III. Inputs, Renewable Energy'!$V$39)</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25">
      <c r="B299" s="611"/>
      <c r="C299" s="609" t="s">
        <v>235</v>
      </c>
      <c r="D299" s="613" t="s">
        <v>16</v>
      </c>
      <c r="E299" s="609"/>
      <c r="F299" s="609"/>
      <c r="G299" s="772">
        <f>IF('III. Inputs, Renewable Energy'!$V$118="N", 0, 'III. Inputs, Renewable Energy'!$V$184)</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25">
      <c r="B300" s="611"/>
      <c r="C300" s="609" t="s">
        <v>208</v>
      </c>
      <c r="D300" s="613" t="s">
        <v>20</v>
      </c>
      <c r="E300" s="609"/>
      <c r="F300" s="609"/>
      <c r="G300" s="620">
        <f>IF('III. Inputs, Renewable Energy'!$V$118="N", 0, 'III. Inputs, Renewable Energy'!$V$185)</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2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25">
      <c r="B302" s="611"/>
      <c r="C302" s="616" t="s">
        <v>67</v>
      </c>
      <c r="D302" s="609"/>
      <c r="E302" s="609"/>
      <c r="F302" s="609"/>
      <c r="G302" s="1198"/>
      <c r="H302" s="1198"/>
      <c r="I302" s="1198"/>
      <c r="J302" s="1198"/>
      <c r="K302" s="1198"/>
      <c r="L302" s="1198"/>
      <c r="M302" s="1198"/>
      <c r="N302" s="1198"/>
      <c r="O302" s="1198"/>
      <c r="P302" s="1198"/>
      <c r="Q302" s="1198"/>
      <c r="R302" s="1198"/>
      <c r="S302" s="1198"/>
      <c r="T302" s="1198"/>
      <c r="U302" s="1198"/>
      <c r="V302" s="1198"/>
      <c r="W302" s="1198"/>
      <c r="X302" s="1198"/>
      <c r="Y302" s="1198"/>
      <c r="Z302" s="1198"/>
      <c r="AA302" s="1199"/>
      <c r="AB302" s="1192"/>
    </row>
    <row r="303" spans="2:28" x14ac:dyDescent="0.25">
      <c r="B303" s="611"/>
      <c r="C303" s="609" t="s">
        <v>73</v>
      </c>
      <c r="D303" s="609"/>
      <c r="E303" s="609"/>
      <c r="F303" s="609"/>
      <c r="G303" s="1384"/>
      <c r="H303" s="1384">
        <f>IF($G$296=0,0,IF(H$196&gt;$G$297,0,IPMT($G$298,H$196,$G$297,-$G$296)))</f>
        <v>0</v>
      </c>
      <c r="I303" s="1384">
        <f t="shared" ref="I303:AA303" si="97">IF($G$296=0,0,IF(I$196&gt;$G$297,0,IPMT($G$298,I$196,$G$297,-$G$296)))</f>
        <v>0</v>
      </c>
      <c r="J303" s="1384">
        <f t="shared" si="97"/>
        <v>0</v>
      </c>
      <c r="K303" s="1384">
        <f t="shared" si="97"/>
        <v>0</v>
      </c>
      <c r="L303" s="1384">
        <f t="shared" si="97"/>
        <v>0</v>
      </c>
      <c r="M303" s="1384">
        <f t="shared" si="97"/>
        <v>0</v>
      </c>
      <c r="N303" s="1384">
        <f t="shared" si="97"/>
        <v>0</v>
      </c>
      <c r="O303" s="1384">
        <f t="shared" si="97"/>
        <v>0</v>
      </c>
      <c r="P303" s="1384">
        <f t="shared" si="97"/>
        <v>0</v>
      </c>
      <c r="Q303" s="1384">
        <f t="shared" si="97"/>
        <v>0</v>
      </c>
      <c r="R303" s="1384">
        <f t="shared" si="97"/>
        <v>0</v>
      </c>
      <c r="S303" s="1384">
        <f t="shared" si="97"/>
        <v>0</v>
      </c>
      <c r="T303" s="1384">
        <f t="shared" si="97"/>
        <v>0</v>
      </c>
      <c r="U303" s="1384">
        <f t="shared" si="97"/>
        <v>0</v>
      </c>
      <c r="V303" s="1384">
        <f t="shared" si="97"/>
        <v>0</v>
      </c>
      <c r="W303" s="1384">
        <f t="shared" si="97"/>
        <v>0</v>
      </c>
      <c r="X303" s="1384">
        <f t="shared" si="97"/>
        <v>0</v>
      </c>
      <c r="Y303" s="1384">
        <f t="shared" si="97"/>
        <v>0</v>
      </c>
      <c r="Z303" s="1384">
        <f t="shared" si="97"/>
        <v>0</v>
      </c>
      <c r="AA303" s="1385">
        <f t="shared" si="97"/>
        <v>0</v>
      </c>
      <c r="AB303" s="1192"/>
    </row>
    <row r="304" spans="2:28" x14ac:dyDescent="0.25">
      <c r="B304" s="611"/>
      <c r="C304" s="617" t="s">
        <v>72</v>
      </c>
      <c r="D304" s="617"/>
      <c r="E304" s="617"/>
      <c r="F304" s="617"/>
      <c r="G304" s="1386"/>
      <c r="H304" s="1386">
        <f>IF($G$296=0,0,IF(H$196&gt;$G$297,0,PPMT($G$298,H$196,$G$297,-$G$296)))</f>
        <v>0</v>
      </c>
      <c r="I304" s="1386">
        <f t="shared" ref="I304:AA304" si="98">IF($G$296=0,0,IF(I$196&gt;$G$297,0,PPMT($G$298,I$196,$G$297,-$G$296)))</f>
        <v>0</v>
      </c>
      <c r="J304" s="1386">
        <f t="shared" si="98"/>
        <v>0</v>
      </c>
      <c r="K304" s="1386">
        <f t="shared" si="98"/>
        <v>0</v>
      </c>
      <c r="L304" s="1386">
        <f t="shared" si="98"/>
        <v>0</v>
      </c>
      <c r="M304" s="1386">
        <f t="shared" si="98"/>
        <v>0</v>
      </c>
      <c r="N304" s="1386">
        <f t="shared" si="98"/>
        <v>0</v>
      </c>
      <c r="O304" s="1386">
        <f t="shared" si="98"/>
        <v>0</v>
      </c>
      <c r="P304" s="1386">
        <f t="shared" si="98"/>
        <v>0</v>
      </c>
      <c r="Q304" s="1386">
        <f t="shared" si="98"/>
        <v>0</v>
      </c>
      <c r="R304" s="1386">
        <f t="shared" si="98"/>
        <v>0</v>
      </c>
      <c r="S304" s="1386">
        <f t="shared" si="98"/>
        <v>0</v>
      </c>
      <c r="T304" s="1386">
        <f t="shared" si="98"/>
        <v>0</v>
      </c>
      <c r="U304" s="1386">
        <f t="shared" si="98"/>
        <v>0</v>
      </c>
      <c r="V304" s="1386">
        <f t="shared" si="98"/>
        <v>0</v>
      </c>
      <c r="W304" s="1386">
        <f t="shared" si="98"/>
        <v>0</v>
      </c>
      <c r="X304" s="1386">
        <f t="shared" si="98"/>
        <v>0</v>
      </c>
      <c r="Y304" s="1386">
        <f t="shared" si="98"/>
        <v>0</v>
      </c>
      <c r="Z304" s="1386">
        <f t="shared" si="98"/>
        <v>0</v>
      </c>
      <c r="AA304" s="1387">
        <f t="shared" si="98"/>
        <v>0</v>
      </c>
      <c r="AB304" s="1192"/>
    </row>
    <row r="305" spans="2:28" x14ac:dyDescent="0.25">
      <c r="B305" s="611"/>
      <c r="C305" s="609" t="s">
        <v>74</v>
      </c>
      <c r="D305" s="609"/>
      <c r="E305" s="609"/>
      <c r="F305" s="609"/>
      <c r="G305" s="1384"/>
      <c r="H305" s="1384">
        <f>SUM(H303:H304)</f>
        <v>0</v>
      </c>
      <c r="I305" s="1384">
        <f t="shared" ref="I305:AA305" si="99">SUM(I303:I304)</f>
        <v>0</v>
      </c>
      <c r="J305" s="1384">
        <f t="shared" si="99"/>
        <v>0</v>
      </c>
      <c r="K305" s="1384">
        <f t="shared" si="99"/>
        <v>0</v>
      </c>
      <c r="L305" s="1384">
        <f t="shared" si="99"/>
        <v>0</v>
      </c>
      <c r="M305" s="1384">
        <f t="shared" si="99"/>
        <v>0</v>
      </c>
      <c r="N305" s="1384">
        <f t="shared" si="99"/>
        <v>0</v>
      </c>
      <c r="O305" s="1384">
        <f t="shared" si="99"/>
        <v>0</v>
      </c>
      <c r="P305" s="1384">
        <f t="shared" si="99"/>
        <v>0</v>
      </c>
      <c r="Q305" s="1384">
        <f t="shared" si="99"/>
        <v>0</v>
      </c>
      <c r="R305" s="1384">
        <f t="shared" si="99"/>
        <v>0</v>
      </c>
      <c r="S305" s="1384">
        <f t="shared" si="99"/>
        <v>0</v>
      </c>
      <c r="T305" s="1384">
        <f t="shared" si="99"/>
        <v>0</v>
      </c>
      <c r="U305" s="1384">
        <f t="shared" si="99"/>
        <v>0</v>
      </c>
      <c r="V305" s="1384">
        <f t="shared" si="99"/>
        <v>0</v>
      </c>
      <c r="W305" s="1384">
        <f t="shared" si="99"/>
        <v>0</v>
      </c>
      <c r="X305" s="1384">
        <f t="shared" si="99"/>
        <v>0</v>
      </c>
      <c r="Y305" s="1384">
        <f t="shared" si="99"/>
        <v>0</v>
      </c>
      <c r="Z305" s="1384">
        <f t="shared" si="99"/>
        <v>0</v>
      </c>
      <c r="AA305" s="1385">
        <f t="shared" si="99"/>
        <v>0</v>
      </c>
      <c r="AB305" s="1192"/>
    </row>
    <row r="306" spans="2:28" x14ac:dyDescent="0.25">
      <c r="B306" s="611"/>
      <c r="C306" s="609"/>
      <c r="D306" s="609"/>
      <c r="E306" s="609"/>
      <c r="F306" s="609"/>
      <c r="G306" s="1384"/>
      <c r="H306" s="1384"/>
      <c r="I306" s="1384"/>
      <c r="J306" s="1384"/>
      <c r="K306" s="1384"/>
      <c r="L306" s="1384"/>
      <c r="M306" s="1384"/>
      <c r="N306" s="1384"/>
      <c r="O306" s="1384"/>
      <c r="P306" s="1384"/>
      <c r="Q306" s="1384"/>
      <c r="R306" s="1384"/>
      <c r="S306" s="1384"/>
      <c r="T306" s="1384"/>
      <c r="U306" s="1384"/>
      <c r="V306" s="1384"/>
      <c r="W306" s="1384"/>
      <c r="X306" s="1384"/>
      <c r="Y306" s="1384"/>
      <c r="Z306" s="1384"/>
      <c r="AA306" s="1385"/>
      <c r="AB306" s="1192"/>
    </row>
    <row r="307" spans="2:28" x14ac:dyDescent="0.25">
      <c r="B307" s="611"/>
      <c r="C307" s="618" t="s">
        <v>65</v>
      </c>
      <c r="D307" s="609"/>
      <c r="E307" s="609"/>
      <c r="F307" s="609"/>
      <c r="G307" s="1384"/>
      <c r="H307" s="1384"/>
      <c r="I307" s="1384"/>
      <c r="J307" s="1384"/>
      <c r="K307" s="1384"/>
      <c r="L307" s="1384"/>
      <c r="M307" s="1384"/>
      <c r="N307" s="1384"/>
      <c r="O307" s="1384"/>
      <c r="P307" s="1384"/>
      <c r="Q307" s="1384"/>
      <c r="R307" s="1384"/>
      <c r="S307" s="1384"/>
      <c r="T307" s="1384"/>
      <c r="U307" s="1384"/>
      <c r="V307" s="1384"/>
      <c r="W307" s="1384"/>
      <c r="X307" s="1384"/>
      <c r="Y307" s="1384"/>
      <c r="Z307" s="1384"/>
      <c r="AA307" s="1385"/>
      <c r="AB307" s="1192"/>
    </row>
    <row r="308" spans="2:28" x14ac:dyDescent="0.25">
      <c r="B308" s="611"/>
      <c r="C308" s="609" t="s">
        <v>75</v>
      </c>
      <c r="D308" s="609"/>
      <c r="E308" s="609"/>
      <c r="F308" s="609"/>
      <c r="G308" s="1384">
        <v>0</v>
      </c>
      <c r="H308" s="1384">
        <f t="shared" ref="H308:AA308" si="100">G311</f>
        <v>0</v>
      </c>
      <c r="I308" s="1384">
        <f t="shared" si="100"/>
        <v>0</v>
      </c>
      <c r="J308" s="1384">
        <f t="shared" si="100"/>
        <v>0</v>
      </c>
      <c r="K308" s="1384">
        <f t="shared" si="100"/>
        <v>0</v>
      </c>
      <c r="L308" s="1384">
        <f t="shared" si="100"/>
        <v>0</v>
      </c>
      <c r="M308" s="1384">
        <f t="shared" si="100"/>
        <v>0</v>
      </c>
      <c r="N308" s="1384">
        <f t="shared" si="100"/>
        <v>0</v>
      </c>
      <c r="O308" s="1384">
        <f t="shared" si="100"/>
        <v>0</v>
      </c>
      <c r="P308" s="1384">
        <f t="shared" si="100"/>
        <v>0</v>
      </c>
      <c r="Q308" s="1384">
        <f t="shared" si="100"/>
        <v>0</v>
      </c>
      <c r="R308" s="1384">
        <f t="shared" si="100"/>
        <v>0</v>
      </c>
      <c r="S308" s="1384">
        <f t="shared" si="100"/>
        <v>0</v>
      </c>
      <c r="T308" s="1384">
        <f t="shared" si="100"/>
        <v>0</v>
      </c>
      <c r="U308" s="1384">
        <f t="shared" si="100"/>
        <v>0</v>
      </c>
      <c r="V308" s="1384">
        <f t="shared" si="100"/>
        <v>0</v>
      </c>
      <c r="W308" s="1384">
        <f t="shared" si="100"/>
        <v>0</v>
      </c>
      <c r="X308" s="1384">
        <f t="shared" si="100"/>
        <v>0</v>
      </c>
      <c r="Y308" s="1384">
        <f t="shared" si="100"/>
        <v>0</v>
      </c>
      <c r="Z308" s="1384">
        <f t="shared" si="100"/>
        <v>0</v>
      </c>
      <c r="AA308" s="1385">
        <f t="shared" si="100"/>
        <v>0</v>
      </c>
      <c r="AB308" s="1192"/>
    </row>
    <row r="309" spans="2:28" x14ac:dyDescent="0.25">
      <c r="B309" s="611"/>
      <c r="C309" s="609" t="s">
        <v>76</v>
      </c>
      <c r="D309" s="609"/>
      <c r="E309" s="609"/>
      <c r="F309" s="609"/>
      <c r="G309" s="1384">
        <f>G296</f>
        <v>0</v>
      </c>
      <c r="H309" s="1384">
        <v>0</v>
      </c>
      <c r="I309" s="1384">
        <v>0</v>
      </c>
      <c r="J309" s="1384">
        <v>0</v>
      </c>
      <c r="K309" s="1384">
        <v>0</v>
      </c>
      <c r="L309" s="1384">
        <v>0</v>
      </c>
      <c r="M309" s="1384">
        <v>0</v>
      </c>
      <c r="N309" s="1384">
        <v>0</v>
      </c>
      <c r="O309" s="1384">
        <v>0</v>
      </c>
      <c r="P309" s="1384">
        <v>0</v>
      </c>
      <c r="Q309" s="1384">
        <v>0</v>
      </c>
      <c r="R309" s="1384">
        <v>0</v>
      </c>
      <c r="S309" s="1384">
        <v>0</v>
      </c>
      <c r="T309" s="1384">
        <v>0</v>
      </c>
      <c r="U309" s="1384">
        <v>0</v>
      </c>
      <c r="V309" s="1384">
        <v>0</v>
      </c>
      <c r="W309" s="1384">
        <v>0</v>
      </c>
      <c r="X309" s="1384">
        <v>0</v>
      </c>
      <c r="Y309" s="1384">
        <v>0</v>
      </c>
      <c r="Z309" s="1384">
        <v>0</v>
      </c>
      <c r="AA309" s="1385">
        <v>0</v>
      </c>
      <c r="AB309" s="1192"/>
    </row>
    <row r="310" spans="2:28" x14ac:dyDescent="0.25">
      <c r="B310" s="611"/>
      <c r="C310" s="617" t="s">
        <v>77</v>
      </c>
      <c r="D310" s="617"/>
      <c r="E310" s="617"/>
      <c r="F310" s="617"/>
      <c r="G310" s="1386">
        <v>0</v>
      </c>
      <c r="H310" s="1386">
        <f>-H304</f>
        <v>0</v>
      </c>
      <c r="I310" s="1386">
        <f t="shared" ref="I310:AA310" si="101">-I304</f>
        <v>0</v>
      </c>
      <c r="J310" s="1386">
        <f t="shared" si="101"/>
        <v>0</v>
      </c>
      <c r="K310" s="1386">
        <f t="shared" si="101"/>
        <v>0</v>
      </c>
      <c r="L310" s="1386">
        <f t="shared" si="101"/>
        <v>0</v>
      </c>
      <c r="M310" s="1386">
        <f t="shared" si="101"/>
        <v>0</v>
      </c>
      <c r="N310" s="1386">
        <f t="shared" si="101"/>
        <v>0</v>
      </c>
      <c r="O310" s="1386">
        <f t="shared" si="101"/>
        <v>0</v>
      </c>
      <c r="P310" s="1386">
        <f t="shared" si="101"/>
        <v>0</v>
      </c>
      <c r="Q310" s="1386">
        <f t="shared" si="101"/>
        <v>0</v>
      </c>
      <c r="R310" s="1386">
        <f t="shared" si="101"/>
        <v>0</v>
      </c>
      <c r="S310" s="1386">
        <f t="shared" si="101"/>
        <v>0</v>
      </c>
      <c r="T310" s="1386">
        <f t="shared" si="101"/>
        <v>0</v>
      </c>
      <c r="U310" s="1386">
        <f t="shared" si="101"/>
        <v>0</v>
      </c>
      <c r="V310" s="1386">
        <f t="shared" si="101"/>
        <v>0</v>
      </c>
      <c r="W310" s="1386">
        <f t="shared" si="101"/>
        <v>0</v>
      </c>
      <c r="X310" s="1386">
        <f t="shared" si="101"/>
        <v>0</v>
      </c>
      <c r="Y310" s="1386">
        <f t="shared" si="101"/>
        <v>0</v>
      </c>
      <c r="Z310" s="1386">
        <f t="shared" si="101"/>
        <v>0</v>
      </c>
      <c r="AA310" s="1387">
        <f t="shared" si="101"/>
        <v>0</v>
      </c>
      <c r="AB310" s="1192"/>
    </row>
    <row r="311" spans="2:28" x14ac:dyDescent="0.25">
      <c r="B311" s="611"/>
      <c r="C311" s="609" t="s">
        <v>66</v>
      </c>
      <c r="D311" s="609"/>
      <c r="E311" s="609"/>
      <c r="F311" s="609"/>
      <c r="G311" s="1384">
        <f>SUM(G308:G310)</f>
        <v>0</v>
      </c>
      <c r="H311" s="1384">
        <f>SUM(H308:H310)</f>
        <v>0</v>
      </c>
      <c r="I311" s="1384">
        <f t="shared" ref="I311:AA311" si="102">SUM(I308:I310)</f>
        <v>0</v>
      </c>
      <c r="J311" s="1384">
        <f t="shared" si="102"/>
        <v>0</v>
      </c>
      <c r="K311" s="1384">
        <f t="shared" si="102"/>
        <v>0</v>
      </c>
      <c r="L311" s="1384">
        <f t="shared" si="102"/>
        <v>0</v>
      </c>
      <c r="M311" s="1384">
        <f t="shared" si="102"/>
        <v>0</v>
      </c>
      <c r="N311" s="1384">
        <f t="shared" si="102"/>
        <v>0</v>
      </c>
      <c r="O311" s="1384">
        <f t="shared" si="102"/>
        <v>0</v>
      </c>
      <c r="P311" s="1384">
        <f t="shared" si="102"/>
        <v>0</v>
      </c>
      <c r="Q311" s="1384">
        <f t="shared" si="102"/>
        <v>0</v>
      </c>
      <c r="R311" s="1384">
        <f t="shared" si="102"/>
        <v>0</v>
      </c>
      <c r="S311" s="1384">
        <f t="shared" si="102"/>
        <v>0</v>
      </c>
      <c r="T311" s="1384">
        <f t="shared" si="102"/>
        <v>0</v>
      </c>
      <c r="U311" s="1384">
        <f t="shared" si="102"/>
        <v>0</v>
      </c>
      <c r="V311" s="1384">
        <f t="shared" si="102"/>
        <v>0</v>
      </c>
      <c r="W311" s="1384">
        <f t="shared" si="102"/>
        <v>0</v>
      </c>
      <c r="X311" s="1384">
        <f t="shared" si="102"/>
        <v>0</v>
      </c>
      <c r="Y311" s="1384">
        <f t="shared" si="102"/>
        <v>0</v>
      </c>
      <c r="Z311" s="1384">
        <f t="shared" si="102"/>
        <v>0</v>
      </c>
      <c r="AA311" s="1385">
        <f t="shared" si="102"/>
        <v>0</v>
      </c>
      <c r="AB311" s="1192"/>
    </row>
    <row r="312" spans="2:28" x14ac:dyDescent="0.25">
      <c r="B312" s="611"/>
      <c r="C312" s="609"/>
      <c r="D312" s="609"/>
      <c r="E312" s="609"/>
      <c r="F312" s="609"/>
      <c r="G312" s="1384"/>
      <c r="H312" s="1384"/>
      <c r="I312" s="1384"/>
      <c r="J312" s="1384"/>
      <c r="K312" s="1384"/>
      <c r="L312" s="1384"/>
      <c r="M312" s="1384"/>
      <c r="N312" s="1384"/>
      <c r="O312" s="1384"/>
      <c r="P312" s="1384"/>
      <c r="Q312" s="1384"/>
      <c r="R312" s="1384"/>
      <c r="S312" s="1384"/>
      <c r="T312" s="1384"/>
      <c r="U312" s="1384"/>
      <c r="V312" s="1384"/>
      <c r="W312" s="1384"/>
      <c r="X312" s="1384"/>
      <c r="Y312" s="1384"/>
      <c r="Z312" s="1384"/>
      <c r="AA312" s="1385"/>
      <c r="AB312" s="1192"/>
    </row>
    <row r="313" spans="2:28" x14ac:dyDescent="0.25">
      <c r="B313" s="611"/>
      <c r="C313" s="618" t="s">
        <v>71</v>
      </c>
      <c r="D313" s="609"/>
      <c r="E313" s="609"/>
      <c r="F313" s="609"/>
      <c r="G313" s="1384"/>
      <c r="H313" s="1384"/>
      <c r="I313" s="1384"/>
      <c r="J313" s="1384"/>
      <c r="K313" s="1384"/>
      <c r="L313" s="1384"/>
      <c r="M313" s="1384"/>
      <c r="N313" s="1384"/>
      <c r="O313" s="1384"/>
      <c r="P313" s="1384"/>
      <c r="Q313" s="1384"/>
      <c r="R313" s="1384"/>
      <c r="S313" s="1384"/>
      <c r="T313" s="1384"/>
      <c r="U313" s="1384"/>
      <c r="V313" s="1384"/>
      <c r="W313" s="1384"/>
      <c r="X313" s="1384"/>
      <c r="Y313" s="1384"/>
      <c r="Z313" s="1384"/>
      <c r="AA313" s="1385"/>
      <c r="AB313" s="1192"/>
    </row>
    <row r="314" spans="2:28" x14ac:dyDescent="0.25">
      <c r="B314" s="611"/>
      <c r="C314" s="609" t="str">
        <f>'III. Inputs, Renewable Energy'!$N$183</f>
        <v xml:space="preserve">Front-end Fee, Commercial Loans </v>
      </c>
      <c r="D314" s="609"/>
      <c r="E314" s="609"/>
      <c r="F314" s="609"/>
      <c r="G314" s="1384"/>
      <c r="H314" s="1384">
        <f>IF($G$296&gt;0, $G$296*'III. Inputs, Renewable Energy'!$V$183/10000,0)</f>
        <v>0</v>
      </c>
      <c r="I314" s="1388">
        <v>0</v>
      </c>
      <c r="J314" s="1388">
        <v>0</v>
      </c>
      <c r="K314" s="1388">
        <v>0</v>
      </c>
      <c r="L314" s="1388">
        <v>0</v>
      </c>
      <c r="M314" s="1388">
        <v>0</v>
      </c>
      <c r="N314" s="1388">
        <v>0</v>
      </c>
      <c r="O314" s="1388">
        <v>0</v>
      </c>
      <c r="P314" s="1388">
        <v>0</v>
      </c>
      <c r="Q314" s="1388">
        <v>0</v>
      </c>
      <c r="R314" s="1388">
        <v>0</v>
      </c>
      <c r="S314" s="1388">
        <v>0</v>
      </c>
      <c r="T314" s="1388">
        <v>0</v>
      </c>
      <c r="U314" s="1388">
        <v>0</v>
      </c>
      <c r="V314" s="1388">
        <v>0</v>
      </c>
      <c r="W314" s="1388">
        <v>0</v>
      </c>
      <c r="X314" s="1388">
        <v>0</v>
      </c>
      <c r="Y314" s="1388">
        <v>0</v>
      </c>
      <c r="Z314" s="1388">
        <v>0</v>
      </c>
      <c r="AA314" s="1389">
        <v>0</v>
      </c>
      <c r="AB314" s="1192"/>
    </row>
    <row r="315" spans="2:28" x14ac:dyDescent="0.25">
      <c r="B315" s="611"/>
      <c r="C315" s="609" t="str">
        <f>'III. Inputs, Renewable Energy'!$O$186</f>
        <v>Front-end Fee, Public Guarantee</v>
      </c>
      <c r="D315" s="609"/>
      <c r="E315" s="609"/>
      <c r="F315" s="609"/>
      <c r="G315" s="1384"/>
      <c r="H315" s="1384">
        <f>IF($G$296&gt;0, $G$296*$G$299*'III. Inputs, Renewable Energy'!$V$186/10000,0)</f>
        <v>0</v>
      </c>
      <c r="I315" s="1388">
        <v>0</v>
      </c>
      <c r="J315" s="1388">
        <v>0</v>
      </c>
      <c r="K315" s="1388">
        <v>0</v>
      </c>
      <c r="L315" s="1388">
        <v>0</v>
      </c>
      <c r="M315" s="1388">
        <v>0</v>
      </c>
      <c r="N315" s="1388">
        <v>0</v>
      </c>
      <c r="O315" s="1388">
        <v>0</v>
      </c>
      <c r="P315" s="1388">
        <v>0</v>
      </c>
      <c r="Q315" s="1388">
        <v>0</v>
      </c>
      <c r="R315" s="1388">
        <v>0</v>
      </c>
      <c r="S315" s="1388">
        <v>0</v>
      </c>
      <c r="T315" s="1388">
        <v>0</v>
      </c>
      <c r="U315" s="1388">
        <v>0</v>
      </c>
      <c r="V315" s="1388">
        <v>0</v>
      </c>
      <c r="W315" s="1388">
        <v>0</v>
      </c>
      <c r="X315" s="1388">
        <v>0</v>
      </c>
      <c r="Y315" s="1388">
        <v>0</v>
      </c>
      <c r="Z315" s="1388">
        <v>0</v>
      </c>
      <c r="AA315" s="1389">
        <v>0</v>
      </c>
      <c r="AB315" s="1192"/>
    </row>
    <row r="316" spans="2:28" x14ac:dyDescent="0.25">
      <c r="B316" s="611"/>
      <c r="C316" s="609" t="str">
        <f>'III. Inputs, Renewable Energy'!$O$187</f>
        <v>Annual Guarantee Fee</v>
      </c>
      <c r="D316" s="609"/>
      <c r="E316" s="609"/>
      <c r="F316" s="609"/>
      <c r="G316" s="1384"/>
      <c r="H316" s="1384">
        <f>IF(H$196&gt;$G$300,0,((H308+H311)/2)*$G$299*'III. Inputs, Renewable Energy'!$V$187/10000)</f>
        <v>0</v>
      </c>
      <c r="I316" s="1384">
        <f>IF(I$196&gt;$G$300,0,((I308+I311)/2)*$G$299*'III. Inputs, Renewable Energy'!$V$187/10000)</f>
        <v>0</v>
      </c>
      <c r="J316" s="1384">
        <f>IF(J$196&gt;$G$300,0,((J308+J311)/2)*$G$299*'III. Inputs, Renewable Energy'!$V$187/10000)</f>
        <v>0</v>
      </c>
      <c r="K316" s="1384">
        <f>IF(K$196&gt;$G$300,0,((K308+K311)/2)*$G$299*'III. Inputs, Renewable Energy'!$V$187/10000)</f>
        <v>0</v>
      </c>
      <c r="L316" s="1384">
        <f>IF(L$196&gt;$G$300,0,((L308+L311)/2)*$G$299*'III. Inputs, Renewable Energy'!$V$187/10000)</f>
        <v>0</v>
      </c>
      <c r="M316" s="1384">
        <f>IF(M$196&gt;$G$300,0,((M308+M311)/2)*$G$299*'III. Inputs, Renewable Energy'!$V$187/10000)</f>
        <v>0</v>
      </c>
      <c r="N316" s="1384">
        <f>IF(N$196&gt;$G$300,0,((N308+N311)/2)*$G$299*'III. Inputs, Renewable Energy'!$V$187/10000)</f>
        <v>0</v>
      </c>
      <c r="O316" s="1384">
        <f>IF(O$196&gt;$G$300,0,((O308+O311)/2)*$G$299*'III. Inputs, Renewable Energy'!$V$187/10000)</f>
        <v>0</v>
      </c>
      <c r="P316" s="1384">
        <f>IF(P$196&gt;$G$300,0,((P308+P311)/2)*$G$299*'III. Inputs, Renewable Energy'!$V$187/10000)</f>
        <v>0</v>
      </c>
      <c r="Q316" s="1384">
        <f>IF(Q$196&gt;$G$300,0,((Q308+Q311)/2)*$G$299*'III. Inputs, Renewable Energy'!$V$187/10000)</f>
        <v>0</v>
      </c>
      <c r="R316" s="1384">
        <f>IF(R$196&gt;$G$300,0,((R308+R311)/2)*$G$299*'III. Inputs, Renewable Energy'!$V$187/10000)</f>
        <v>0</v>
      </c>
      <c r="S316" s="1384">
        <f>IF(S$196&gt;$G$300,0,((S308+S311)/2)*$G$299*'III. Inputs, Renewable Energy'!$V$187/10000)</f>
        <v>0</v>
      </c>
      <c r="T316" s="1384">
        <f>IF(T$196&gt;$G$300,0,((T308+T311)/2)*$G$299*'III. Inputs, Renewable Energy'!$V$187/10000)</f>
        <v>0</v>
      </c>
      <c r="U316" s="1384">
        <f>IF(U$196&gt;$G$300,0,((U308+U311)/2)*$G$299*'III. Inputs, Renewable Energy'!$V$187/10000)</f>
        <v>0</v>
      </c>
      <c r="V316" s="1384">
        <f>IF(V$196&gt;$G$300,0,((V308+V311)/2)*$G$299*'III. Inputs, Renewable Energy'!$V$187/10000)</f>
        <v>0</v>
      </c>
      <c r="W316" s="1384">
        <f>IF(W$196&gt;$G$300,0,((W308+W311)/2)*$G$299*'III. Inputs, Renewable Energy'!$V$187/10000)</f>
        <v>0</v>
      </c>
      <c r="X316" s="1384">
        <f>IF(X$196&gt;$G$300,0,((X308+X311)/2)*$G$299*'III. Inputs, Renewable Energy'!$V$187/10000)</f>
        <v>0</v>
      </c>
      <c r="Y316" s="1384">
        <f>IF(Y$196&gt;$G$300,0,((Y308+Y311)/2)*$G$299*'III. Inputs, Renewable Energy'!$V$187/10000)</f>
        <v>0</v>
      </c>
      <c r="Z316" s="1384">
        <f>IF(Z$196&gt;$G$300,0,((Z308+Z311)/2)*$G$299*'III. Inputs, Renewable Energy'!$V$187/10000)</f>
        <v>0</v>
      </c>
      <c r="AA316" s="1385">
        <f>IF(AA$196&gt;$G$300,0,((AA308+AA311)/2)*$G$299*'III. Inputs, Renewable Energy'!$V$187/10000)</f>
        <v>0</v>
      </c>
      <c r="AB316" s="1192"/>
    </row>
    <row r="317" spans="2:28" x14ac:dyDescent="0.2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x14ac:dyDescent="0.25">
      <c r="B318" s="608" t="s">
        <v>180</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25">
      <c r="B319" s="611"/>
      <c r="C319" s="612" t="s">
        <v>68</v>
      </c>
      <c r="D319" s="609"/>
      <c r="E319" s="609"/>
      <c r="F319" s="609"/>
      <c r="G319" s="1384">
        <f>IF('III. Inputs, Renewable Energy'!$V$33&gt;0, 'III. Inputs, Renewable Energy'!$U$14*'III. Inputs, Renewable Energy'!$U$15*'III. Inputs, Renewable Energy'!$V$29*'III. Inputs, Renewable Energy'!$V$33,0)</f>
        <v>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25">
      <c r="B320" s="611"/>
      <c r="C320" s="612" t="s">
        <v>69</v>
      </c>
      <c r="D320" s="609"/>
      <c r="E320" s="609"/>
      <c r="F320" s="609"/>
      <c r="G320" s="620">
        <f>IF('III. Inputs, Renewable Energy'!$V$33&gt;0, 'III. Inputs, Renewable Energy'!$V$45,0)</f>
        <v>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8" x14ac:dyDescent="0.25">
      <c r="B321" s="611"/>
      <c r="C321" s="612" t="s">
        <v>70</v>
      </c>
      <c r="D321" s="609"/>
      <c r="E321" s="609"/>
      <c r="F321" s="609"/>
      <c r="G321" s="772">
        <f>SUM('III. Inputs, Renewable Energy'!V40)</f>
        <v>0</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8" x14ac:dyDescent="0.2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8" x14ac:dyDescent="0.25">
      <c r="B323" s="611"/>
      <c r="C323" s="616" t="s">
        <v>67</v>
      </c>
      <c r="D323" s="609"/>
      <c r="E323" s="609"/>
      <c r="F323" s="609"/>
      <c r="G323" s="1198"/>
      <c r="H323" s="1198"/>
      <c r="I323" s="1198"/>
      <c r="J323" s="1198"/>
      <c r="K323" s="1198"/>
      <c r="L323" s="1198"/>
      <c r="M323" s="1198"/>
      <c r="N323" s="1198"/>
      <c r="O323" s="1198"/>
      <c r="P323" s="1198"/>
      <c r="Q323" s="1198"/>
      <c r="R323" s="1198"/>
      <c r="S323" s="1198"/>
      <c r="T323" s="1198"/>
      <c r="U323" s="1198"/>
      <c r="V323" s="1198"/>
      <c r="W323" s="1198"/>
      <c r="X323" s="1198"/>
      <c r="Y323" s="1198"/>
      <c r="Z323" s="1198"/>
      <c r="AA323" s="1199"/>
      <c r="AB323" s="1192"/>
    </row>
    <row r="324" spans="2:28" x14ac:dyDescent="0.25">
      <c r="B324" s="611"/>
      <c r="C324" s="609" t="s">
        <v>73</v>
      </c>
      <c r="D324" s="609"/>
      <c r="E324" s="609"/>
      <c r="F324" s="609"/>
      <c r="G324" s="1384"/>
      <c r="H324" s="1384">
        <f>IF($G$319=0,0,IF(H$196&gt;$G$320,0,IPMT($G$321,H$196,$G$320,-$G$319)))</f>
        <v>0</v>
      </c>
      <c r="I324" s="1384">
        <f t="shared" ref="I324:AA324" si="103">IF($G$319=0,0,IF(I$196&gt;$G$320,0,IPMT($G$321,I$196,$G$320,-$G$319)))</f>
        <v>0</v>
      </c>
      <c r="J324" s="1384">
        <f t="shared" si="103"/>
        <v>0</v>
      </c>
      <c r="K324" s="1384">
        <f t="shared" si="103"/>
        <v>0</v>
      </c>
      <c r="L324" s="1384">
        <f t="shared" si="103"/>
        <v>0</v>
      </c>
      <c r="M324" s="1384">
        <f t="shared" si="103"/>
        <v>0</v>
      </c>
      <c r="N324" s="1384">
        <f t="shared" si="103"/>
        <v>0</v>
      </c>
      <c r="O324" s="1384">
        <f t="shared" si="103"/>
        <v>0</v>
      </c>
      <c r="P324" s="1384">
        <f t="shared" si="103"/>
        <v>0</v>
      </c>
      <c r="Q324" s="1384">
        <f t="shared" si="103"/>
        <v>0</v>
      </c>
      <c r="R324" s="1384">
        <f t="shared" si="103"/>
        <v>0</v>
      </c>
      <c r="S324" s="1384">
        <f t="shared" si="103"/>
        <v>0</v>
      </c>
      <c r="T324" s="1384">
        <f t="shared" si="103"/>
        <v>0</v>
      </c>
      <c r="U324" s="1384">
        <f t="shared" si="103"/>
        <v>0</v>
      </c>
      <c r="V324" s="1384">
        <f t="shared" si="103"/>
        <v>0</v>
      </c>
      <c r="W324" s="1384">
        <f t="shared" si="103"/>
        <v>0</v>
      </c>
      <c r="X324" s="1384">
        <f t="shared" si="103"/>
        <v>0</v>
      </c>
      <c r="Y324" s="1384">
        <f t="shared" si="103"/>
        <v>0</v>
      </c>
      <c r="Z324" s="1384">
        <f t="shared" si="103"/>
        <v>0</v>
      </c>
      <c r="AA324" s="1385">
        <f t="shared" si="103"/>
        <v>0</v>
      </c>
      <c r="AB324" s="1192"/>
    </row>
    <row r="325" spans="2:28" x14ac:dyDescent="0.25">
      <c r="B325" s="611"/>
      <c r="C325" s="617" t="s">
        <v>72</v>
      </c>
      <c r="D325" s="617"/>
      <c r="E325" s="617"/>
      <c r="F325" s="617"/>
      <c r="G325" s="1386"/>
      <c r="H325" s="1386">
        <f>IF($G$319=0,0,IF(H$196&gt;$G$320,0,PPMT($G$321,H$196,$G$320,-$G$319)))</f>
        <v>0</v>
      </c>
      <c r="I325" s="1386">
        <f t="shared" ref="I325:AA325" si="104">IF($G$319=0,0,IF(I$196&gt;$G$320,0,PPMT($G$321,I$196,$G$320,-$G$319)))</f>
        <v>0</v>
      </c>
      <c r="J325" s="1386">
        <f t="shared" si="104"/>
        <v>0</v>
      </c>
      <c r="K325" s="1386">
        <f t="shared" si="104"/>
        <v>0</v>
      </c>
      <c r="L325" s="1386">
        <f t="shared" si="104"/>
        <v>0</v>
      </c>
      <c r="M325" s="1386">
        <f t="shared" si="104"/>
        <v>0</v>
      </c>
      <c r="N325" s="1386">
        <f t="shared" si="104"/>
        <v>0</v>
      </c>
      <c r="O325" s="1386">
        <f t="shared" si="104"/>
        <v>0</v>
      </c>
      <c r="P325" s="1386">
        <f t="shared" si="104"/>
        <v>0</v>
      </c>
      <c r="Q325" s="1386">
        <f t="shared" si="104"/>
        <v>0</v>
      </c>
      <c r="R325" s="1386">
        <f t="shared" si="104"/>
        <v>0</v>
      </c>
      <c r="S325" s="1386">
        <f t="shared" si="104"/>
        <v>0</v>
      </c>
      <c r="T325" s="1386">
        <f t="shared" si="104"/>
        <v>0</v>
      </c>
      <c r="U325" s="1386">
        <f t="shared" si="104"/>
        <v>0</v>
      </c>
      <c r="V325" s="1386">
        <f t="shared" si="104"/>
        <v>0</v>
      </c>
      <c r="W325" s="1386">
        <f t="shared" si="104"/>
        <v>0</v>
      </c>
      <c r="X325" s="1386">
        <f t="shared" si="104"/>
        <v>0</v>
      </c>
      <c r="Y325" s="1386">
        <f t="shared" si="104"/>
        <v>0</v>
      </c>
      <c r="Z325" s="1386">
        <f t="shared" si="104"/>
        <v>0</v>
      </c>
      <c r="AA325" s="1387">
        <f t="shared" si="104"/>
        <v>0</v>
      </c>
      <c r="AB325" s="1192"/>
    </row>
    <row r="326" spans="2:28" x14ac:dyDescent="0.25">
      <c r="B326" s="611"/>
      <c r="C326" s="609" t="s">
        <v>74</v>
      </c>
      <c r="D326" s="609"/>
      <c r="E326" s="609"/>
      <c r="F326" s="609"/>
      <c r="G326" s="1384"/>
      <c r="H326" s="1384">
        <f>SUM(H324:H325)</f>
        <v>0</v>
      </c>
      <c r="I326" s="1384">
        <f t="shared" ref="I326:AA326" si="105">SUM(I324:I325)</f>
        <v>0</v>
      </c>
      <c r="J326" s="1384">
        <f t="shared" si="105"/>
        <v>0</v>
      </c>
      <c r="K326" s="1384">
        <f t="shared" si="105"/>
        <v>0</v>
      </c>
      <c r="L326" s="1384">
        <f t="shared" si="105"/>
        <v>0</v>
      </c>
      <c r="M326" s="1384">
        <f t="shared" si="105"/>
        <v>0</v>
      </c>
      <c r="N326" s="1384">
        <f t="shared" si="105"/>
        <v>0</v>
      </c>
      <c r="O326" s="1384">
        <f t="shared" si="105"/>
        <v>0</v>
      </c>
      <c r="P326" s="1384">
        <f t="shared" si="105"/>
        <v>0</v>
      </c>
      <c r="Q326" s="1384">
        <f t="shared" si="105"/>
        <v>0</v>
      </c>
      <c r="R326" s="1384">
        <f t="shared" si="105"/>
        <v>0</v>
      </c>
      <c r="S326" s="1384">
        <f t="shared" si="105"/>
        <v>0</v>
      </c>
      <c r="T326" s="1384">
        <f t="shared" si="105"/>
        <v>0</v>
      </c>
      <c r="U326" s="1384">
        <f t="shared" si="105"/>
        <v>0</v>
      </c>
      <c r="V326" s="1384">
        <f t="shared" si="105"/>
        <v>0</v>
      </c>
      <c r="W326" s="1384">
        <f t="shared" si="105"/>
        <v>0</v>
      </c>
      <c r="X326" s="1384">
        <f t="shared" si="105"/>
        <v>0</v>
      </c>
      <c r="Y326" s="1384">
        <f t="shared" si="105"/>
        <v>0</v>
      </c>
      <c r="Z326" s="1384">
        <f t="shared" si="105"/>
        <v>0</v>
      </c>
      <c r="AA326" s="1385">
        <f t="shared" si="105"/>
        <v>0</v>
      </c>
      <c r="AB326" s="1192"/>
    </row>
    <row r="327" spans="2:28" x14ac:dyDescent="0.25">
      <c r="B327" s="611"/>
      <c r="C327" s="609"/>
      <c r="D327" s="609"/>
      <c r="E327" s="609"/>
      <c r="F327" s="609"/>
      <c r="G327" s="1384"/>
      <c r="H327" s="1384"/>
      <c r="I327" s="1384"/>
      <c r="J327" s="1384"/>
      <c r="K327" s="1384"/>
      <c r="L327" s="1384"/>
      <c r="M327" s="1384"/>
      <c r="N327" s="1384"/>
      <c r="O327" s="1384"/>
      <c r="P327" s="1384"/>
      <c r="Q327" s="1384"/>
      <c r="R327" s="1384"/>
      <c r="S327" s="1384"/>
      <c r="T327" s="1384"/>
      <c r="U327" s="1384"/>
      <c r="V327" s="1384"/>
      <c r="W327" s="1384"/>
      <c r="X327" s="1384"/>
      <c r="Y327" s="1384"/>
      <c r="Z327" s="1384"/>
      <c r="AA327" s="1385"/>
      <c r="AB327" s="1192"/>
    </row>
    <row r="328" spans="2:28" x14ac:dyDescent="0.25">
      <c r="B328" s="611"/>
      <c r="C328" s="618" t="s">
        <v>65</v>
      </c>
      <c r="D328" s="609"/>
      <c r="E328" s="609"/>
      <c r="F328" s="609"/>
      <c r="G328" s="1384"/>
      <c r="H328" s="1384"/>
      <c r="I328" s="1384"/>
      <c r="J328" s="1384"/>
      <c r="K328" s="1384"/>
      <c r="L328" s="1384"/>
      <c r="M328" s="1384"/>
      <c r="N328" s="1384"/>
      <c r="O328" s="1384"/>
      <c r="P328" s="1384"/>
      <c r="Q328" s="1384"/>
      <c r="R328" s="1384"/>
      <c r="S328" s="1384"/>
      <c r="T328" s="1384"/>
      <c r="U328" s="1384"/>
      <c r="V328" s="1384"/>
      <c r="W328" s="1384"/>
      <c r="X328" s="1384"/>
      <c r="Y328" s="1384"/>
      <c r="Z328" s="1384"/>
      <c r="AA328" s="1385"/>
      <c r="AB328" s="1192"/>
    </row>
    <row r="329" spans="2:28" x14ac:dyDescent="0.25">
      <c r="B329" s="611"/>
      <c r="C329" s="609" t="s">
        <v>75</v>
      </c>
      <c r="D329" s="609"/>
      <c r="E329" s="609"/>
      <c r="F329" s="609"/>
      <c r="G329" s="1384">
        <v>0</v>
      </c>
      <c r="H329" s="1384">
        <f t="shared" ref="H329:AA329" si="106">G332</f>
        <v>0</v>
      </c>
      <c r="I329" s="1384">
        <f t="shared" si="106"/>
        <v>0</v>
      </c>
      <c r="J329" s="1384">
        <f t="shared" si="106"/>
        <v>0</v>
      </c>
      <c r="K329" s="1384">
        <f t="shared" si="106"/>
        <v>0</v>
      </c>
      <c r="L329" s="1384">
        <f t="shared" si="106"/>
        <v>0</v>
      </c>
      <c r="M329" s="1384">
        <f t="shared" si="106"/>
        <v>0</v>
      </c>
      <c r="N329" s="1384">
        <f t="shared" si="106"/>
        <v>0</v>
      </c>
      <c r="O329" s="1384">
        <f t="shared" si="106"/>
        <v>0</v>
      </c>
      <c r="P329" s="1384">
        <f t="shared" si="106"/>
        <v>0</v>
      </c>
      <c r="Q329" s="1384">
        <f t="shared" si="106"/>
        <v>0</v>
      </c>
      <c r="R329" s="1384">
        <f t="shared" si="106"/>
        <v>0</v>
      </c>
      <c r="S329" s="1384">
        <f t="shared" si="106"/>
        <v>0</v>
      </c>
      <c r="T329" s="1384">
        <f t="shared" si="106"/>
        <v>0</v>
      </c>
      <c r="U329" s="1384">
        <f t="shared" si="106"/>
        <v>0</v>
      </c>
      <c r="V329" s="1384">
        <f t="shared" si="106"/>
        <v>0</v>
      </c>
      <c r="W329" s="1384">
        <f t="shared" si="106"/>
        <v>0</v>
      </c>
      <c r="X329" s="1384">
        <f t="shared" si="106"/>
        <v>0</v>
      </c>
      <c r="Y329" s="1384">
        <f t="shared" si="106"/>
        <v>0</v>
      </c>
      <c r="Z329" s="1384">
        <f t="shared" si="106"/>
        <v>0</v>
      </c>
      <c r="AA329" s="1385">
        <f t="shared" si="106"/>
        <v>0</v>
      </c>
      <c r="AB329" s="1192"/>
    </row>
    <row r="330" spans="2:28" x14ac:dyDescent="0.25">
      <c r="B330" s="611"/>
      <c r="C330" s="609" t="s">
        <v>76</v>
      </c>
      <c r="D330" s="609"/>
      <c r="E330" s="609"/>
      <c r="F330" s="609"/>
      <c r="G330" s="1384">
        <f>G319</f>
        <v>0</v>
      </c>
      <c r="H330" s="1384">
        <v>0</v>
      </c>
      <c r="I330" s="1384">
        <v>0</v>
      </c>
      <c r="J330" s="1384">
        <v>0</v>
      </c>
      <c r="K330" s="1384">
        <v>0</v>
      </c>
      <c r="L330" s="1384">
        <v>0</v>
      </c>
      <c r="M330" s="1384">
        <v>0</v>
      </c>
      <c r="N330" s="1384">
        <v>0</v>
      </c>
      <c r="O330" s="1384">
        <v>0</v>
      </c>
      <c r="P330" s="1384">
        <v>0</v>
      </c>
      <c r="Q330" s="1384">
        <v>0</v>
      </c>
      <c r="R330" s="1384">
        <v>0</v>
      </c>
      <c r="S330" s="1384">
        <v>0</v>
      </c>
      <c r="T330" s="1384">
        <v>0</v>
      </c>
      <c r="U330" s="1384">
        <v>0</v>
      </c>
      <c r="V330" s="1384">
        <v>0</v>
      </c>
      <c r="W330" s="1384">
        <v>0</v>
      </c>
      <c r="X330" s="1384">
        <v>0</v>
      </c>
      <c r="Y330" s="1384">
        <v>0</v>
      </c>
      <c r="Z330" s="1384">
        <v>0</v>
      </c>
      <c r="AA330" s="1385">
        <v>0</v>
      </c>
      <c r="AB330" s="1192"/>
    </row>
    <row r="331" spans="2:28" x14ac:dyDescent="0.25">
      <c r="B331" s="611"/>
      <c r="C331" s="617" t="s">
        <v>77</v>
      </c>
      <c r="D331" s="617"/>
      <c r="E331" s="617"/>
      <c r="F331" s="617"/>
      <c r="G331" s="1386">
        <v>0</v>
      </c>
      <c r="H331" s="1386">
        <f>-H325</f>
        <v>0</v>
      </c>
      <c r="I331" s="1386">
        <f t="shared" ref="I331:AA331" si="107">-I325</f>
        <v>0</v>
      </c>
      <c r="J331" s="1386">
        <f t="shared" si="107"/>
        <v>0</v>
      </c>
      <c r="K331" s="1386">
        <f t="shared" si="107"/>
        <v>0</v>
      </c>
      <c r="L331" s="1386">
        <f t="shared" si="107"/>
        <v>0</v>
      </c>
      <c r="M331" s="1386">
        <f t="shared" si="107"/>
        <v>0</v>
      </c>
      <c r="N331" s="1386">
        <f t="shared" si="107"/>
        <v>0</v>
      </c>
      <c r="O331" s="1386">
        <f t="shared" si="107"/>
        <v>0</v>
      </c>
      <c r="P331" s="1386">
        <f t="shared" si="107"/>
        <v>0</v>
      </c>
      <c r="Q331" s="1386">
        <f t="shared" si="107"/>
        <v>0</v>
      </c>
      <c r="R331" s="1386">
        <f t="shared" si="107"/>
        <v>0</v>
      </c>
      <c r="S331" s="1386">
        <f t="shared" si="107"/>
        <v>0</v>
      </c>
      <c r="T331" s="1386">
        <f t="shared" si="107"/>
        <v>0</v>
      </c>
      <c r="U331" s="1386">
        <f t="shared" si="107"/>
        <v>0</v>
      </c>
      <c r="V331" s="1386">
        <f t="shared" si="107"/>
        <v>0</v>
      </c>
      <c r="W331" s="1386">
        <f t="shared" si="107"/>
        <v>0</v>
      </c>
      <c r="X331" s="1386">
        <f t="shared" si="107"/>
        <v>0</v>
      </c>
      <c r="Y331" s="1386">
        <f t="shared" si="107"/>
        <v>0</v>
      </c>
      <c r="Z331" s="1386">
        <f t="shared" si="107"/>
        <v>0</v>
      </c>
      <c r="AA331" s="1387">
        <f t="shared" si="107"/>
        <v>0</v>
      </c>
      <c r="AB331" s="1192"/>
    </row>
    <row r="332" spans="2:28" x14ac:dyDescent="0.25">
      <c r="B332" s="611"/>
      <c r="C332" s="609" t="s">
        <v>66</v>
      </c>
      <c r="D332" s="609"/>
      <c r="E332" s="609"/>
      <c r="F332" s="609"/>
      <c r="G332" s="1384">
        <f>SUM(G329:G331)</f>
        <v>0</v>
      </c>
      <c r="H332" s="1384">
        <f>SUM(H329:H331)</f>
        <v>0</v>
      </c>
      <c r="I332" s="1384">
        <f t="shared" ref="I332:AA332" si="108">SUM(I329:I331)</f>
        <v>0</v>
      </c>
      <c r="J332" s="1384">
        <f t="shared" si="108"/>
        <v>0</v>
      </c>
      <c r="K332" s="1384">
        <f t="shared" si="108"/>
        <v>0</v>
      </c>
      <c r="L332" s="1384">
        <f t="shared" si="108"/>
        <v>0</v>
      </c>
      <c r="M332" s="1384">
        <f t="shared" si="108"/>
        <v>0</v>
      </c>
      <c r="N332" s="1384">
        <f t="shared" si="108"/>
        <v>0</v>
      </c>
      <c r="O332" s="1384">
        <f t="shared" si="108"/>
        <v>0</v>
      </c>
      <c r="P332" s="1384">
        <f t="shared" si="108"/>
        <v>0</v>
      </c>
      <c r="Q332" s="1384">
        <f t="shared" si="108"/>
        <v>0</v>
      </c>
      <c r="R332" s="1384">
        <f t="shared" si="108"/>
        <v>0</v>
      </c>
      <c r="S332" s="1384">
        <f t="shared" si="108"/>
        <v>0</v>
      </c>
      <c r="T332" s="1384">
        <f t="shared" si="108"/>
        <v>0</v>
      </c>
      <c r="U332" s="1384">
        <f t="shared" si="108"/>
        <v>0</v>
      </c>
      <c r="V332" s="1384">
        <f t="shared" si="108"/>
        <v>0</v>
      </c>
      <c r="W332" s="1384">
        <f t="shared" si="108"/>
        <v>0</v>
      </c>
      <c r="X332" s="1384">
        <f t="shared" si="108"/>
        <v>0</v>
      </c>
      <c r="Y332" s="1384">
        <f t="shared" si="108"/>
        <v>0</v>
      </c>
      <c r="Z332" s="1384">
        <f t="shared" si="108"/>
        <v>0</v>
      </c>
      <c r="AA332" s="1385">
        <f t="shared" si="108"/>
        <v>0</v>
      </c>
      <c r="AB332" s="1192"/>
    </row>
    <row r="333" spans="2:28" x14ac:dyDescent="0.25">
      <c r="B333" s="611"/>
      <c r="C333" s="609"/>
      <c r="D333" s="609"/>
      <c r="E333" s="609"/>
      <c r="F333" s="609"/>
      <c r="G333" s="1384"/>
      <c r="H333" s="1384"/>
      <c r="I333" s="1384"/>
      <c r="J333" s="1384"/>
      <c r="K333" s="1384"/>
      <c r="L333" s="1384"/>
      <c r="M333" s="1384"/>
      <c r="N333" s="1384"/>
      <c r="O333" s="1384"/>
      <c r="P333" s="1384"/>
      <c r="Q333" s="1384"/>
      <c r="R333" s="1384"/>
      <c r="S333" s="1384"/>
      <c r="T333" s="1384"/>
      <c r="U333" s="1384"/>
      <c r="V333" s="1384"/>
      <c r="W333" s="1384"/>
      <c r="X333" s="1384"/>
      <c r="Y333" s="1384"/>
      <c r="Z333" s="1384"/>
      <c r="AA333" s="1385"/>
      <c r="AB333" s="1192"/>
    </row>
    <row r="334" spans="2:28" x14ac:dyDescent="0.25">
      <c r="B334" s="611"/>
      <c r="C334" s="618" t="s">
        <v>71</v>
      </c>
      <c r="D334" s="609"/>
      <c r="E334" s="609"/>
      <c r="F334" s="609"/>
      <c r="G334" s="1384"/>
      <c r="H334" s="1384"/>
      <c r="I334" s="1384"/>
      <c r="J334" s="1384"/>
      <c r="K334" s="1384"/>
      <c r="L334" s="1384"/>
      <c r="M334" s="1384"/>
      <c r="N334" s="1384"/>
      <c r="O334" s="1384"/>
      <c r="P334" s="1384"/>
      <c r="Q334" s="1384"/>
      <c r="R334" s="1384"/>
      <c r="S334" s="1384"/>
      <c r="T334" s="1384"/>
      <c r="U334" s="1384"/>
      <c r="V334" s="1384"/>
      <c r="W334" s="1384"/>
      <c r="X334" s="1384"/>
      <c r="Y334" s="1384"/>
      <c r="Z334" s="1384"/>
      <c r="AA334" s="1385"/>
      <c r="AB334" s="1192"/>
    </row>
    <row r="335" spans="2:28" x14ac:dyDescent="0.25">
      <c r="B335" s="611"/>
      <c r="C335" s="609" t="s">
        <v>232</v>
      </c>
      <c r="D335" s="609"/>
      <c r="E335" s="609"/>
      <c r="F335" s="609"/>
      <c r="G335" s="1384"/>
      <c r="H335" s="1384">
        <f>IF($G$319&gt;0, $G$319*'III. Inputs, Renewable Energy'!$V$50/10000,0)</f>
        <v>0</v>
      </c>
      <c r="I335" s="1388">
        <v>0</v>
      </c>
      <c r="J335" s="1388">
        <v>0</v>
      </c>
      <c r="K335" s="1388">
        <v>0</v>
      </c>
      <c r="L335" s="1388">
        <v>0</v>
      </c>
      <c r="M335" s="1388">
        <v>0</v>
      </c>
      <c r="N335" s="1388">
        <v>0</v>
      </c>
      <c r="O335" s="1388">
        <v>0</v>
      </c>
      <c r="P335" s="1388">
        <v>0</v>
      </c>
      <c r="Q335" s="1388">
        <v>0</v>
      </c>
      <c r="R335" s="1388">
        <v>0</v>
      </c>
      <c r="S335" s="1388">
        <v>0</v>
      </c>
      <c r="T335" s="1388">
        <v>0</v>
      </c>
      <c r="U335" s="1388">
        <v>0</v>
      </c>
      <c r="V335" s="1388">
        <v>0</v>
      </c>
      <c r="W335" s="1388">
        <v>0</v>
      </c>
      <c r="X335" s="1388">
        <v>0</v>
      </c>
      <c r="Y335" s="1388">
        <v>0</v>
      </c>
      <c r="Z335" s="1388">
        <v>0</v>
      </c>
      <c r="AA335" s="1389">
        <v>0</v>
      </c>
      <c r="AB335" s="1192"/>
    </row>
    <row r="336" spans="2:28" x14ac:dyDescent="0.2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2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x14ac:dyDescent="0.25">
      <c r="B338" s="608" t="s">
        <v>86</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25">
      <c r="B339" s="611"/>
      <c r="C339" s="612" t="s">
        <v>84</v>
      </c>
      <c r="D339" s="609"/>
      <c r="E339" s="609"/>
      <c r="F339" s="1384">
        <f>IF('III. Inputs, Renewable Energy'!V189&gt;0, 'III. Inputs, Renewable Energy'!$U$14*'III. Inputs, Renewable Energy'!$U$15*'III. Inputs, Renewable Energy'!$V$28*'III. Inputs, Renewable Energy'!$V$189,0)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25">
      <c r="B340" s="611"/>
      <c r="C340" s="612" t="str">
        <f>'III. Inputs, Renewable Energy'!$N$190</f>
        <v xml:space="preserve">Term of Political Risk Insurance </v>
      </c>
      <c r="D340" s="609"/>
      <c r="E340" s="609"/>
      <c r="F340" s="620">
        <f>'III. Inputs, Renewable Energy'!V190</f>
        <v>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25">
      <c r="B341" s="611"/>
      <c r="C341" s="612" t="str">
        <f>'III. Inputs, Renewable Energy'!$N$191</f>
        <v xml:space="preserve">Front-end Fee </v>
      </c>
      <c r="D341" s="609"/>
      <c r="E341" s="609"/>
      <c r="F341" s="620">
        <f>'III. Inputs, Renewable Energy'!V191</f>
        <v>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25">
      <c r="B342" s="611"/>
      <c r="C342" s="612" t="str">
        <f>'III. Inputs, Renewable Energy'!$N$192</f>
        <v xml:space="preserve">Annual Political Risk Insurance Premium </v>
      </c>
      <c r="D342" s="609"/>
      <c r="E342" s="609"/>
      <c r="F342" s="620">
        <f>'III. Inputs, Renewable Energy'!V192</f>
        <v>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2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25">
      <c r="B344" s="611"/>
      <c r="C344" s="618" t="s">
        <v>71</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25">
      <c r="B345" s="611"/>
      <c r="C345" s="609" t="str">
        <f>'III. Inputs, Renewable Energy'!$N$191</f>
        <v xml:space="preserve">Front-end Fee </v>
      </c>
      <c r="D345" s="609"/>
      <c r="E345" s="609"/>
      <c r="F345" s="609"/>
      <c r="G345" s="609"/>
      <c r="H345" s="1384">
        <f>IF(F339&gt;0, F339*F341/10000, 0)</f>
        <v>0</v>
      </c>
      <c r="I345" s="1388">
        <v>0</v>
      </c>
      <c r="J345" s="1388">
        <v>0</v>
      </c>
      <c r="K345" s="1388">
        <v>0</v>
      </c>
      <c r="L345" s="1388">
        <v>0</v>
      </c>
      <c r="M345" s="1388">
        <v>0</v>
      </c>
      <c r="N345" s="1388">
        <v>0</v>
      </c>
      <c r="O345" s="1388">
        <v>0</v>
      </c>
      <c r="P345" s="1388">
        <v>0</v>
      </c>
      <c r="Q345" s="1388">
        <v>0</v>
      </c>
      <c r="R345" s="1388">
        <v>0</v>
      </c>
      <c r="S345" s="1388">
        <v>0</v>
      </c>
      <c r="T345" s="1388">
        <v>0</v>
      </c>
      <c r="U345" s="1388">
        <v>0</v>
      </c>
      <c r="V345" s="1388">
        <v>0</v>
      </c>
      <c r="W345" s="1388">
        <v>0</v>
      </c>
      <c r="X345" s="1388">
        <v>0</v>
      </c>
      <c r="Y345" s="1388">
        <v>0</v>
      </c>
      <c r="Z345" s="1388">
        <v>0</v>
      </c>
      <c r="AA345" s="1389">
        <v>0</v>
      </c>
    </row>
    <row r="346" spans="1:27" x14ac:dyDescent="0.25">
      <c r="B346" s="611"/>
      <c r="C346" s="617" t="str">
        <f>'III. Inputs, Renewable Energy'!$N$192</f>
        <v xml:space="preserve">Annual Political Risk Insurance Premium </v>
      </c>
      <c r="D346" s="617"/>
      <c r="E346" s="617"/>
      <c r="F346" s="617"/>
      <c r="G346" s="617"/>
      <c r="H346" s="1386">
        <f>IF(H$196&gt;$F$340,0,($F$339*$F$342/10000))</f>
        <v>0</v>
      </c>
      <c r="I346" s="1386">
        <f t="shared" ref="I346:AA346" si="109">IF(I$196&gt;$F$340,0,($F$339*$F$342/10000))</f>
        <v>0</v>
      </c>
      <c r="J346" s="1386">
        <f t="shared" si="109"/>
        <v>0</v>
      </c>
      <c r="K346" s="1386">
        <f t="shared" si="109"/>
        <v>0</v>
      </c>
      <c r="L346" s="1386">
        <f t="shared" si="109"/>
        <v>0</v>
      </c>
      <c r="M346" s="1386">
        <f t="shared" si="109"/>
        <v>0</v>
      </c>
      <c r="N346" s="1386">
        <f t="shared" si="109"/>
        <v>0</v>
      </c>
      <c r="O346" s="1386">
        <f t="shared" si="109"/>
        <v>0</v>
      </c>
      <c r="P346" s="1386">
        <f t="shared" si="109"/>
        <v>0</v>
      </c>
      <c r="Q346" s="1386">
        <f t="shared" si="109"/>
        <v>0</v>
      </c>
      <c r="R346" s="1386">
        <f t="shared" si="109"/>
        <v>0</v>
      </c>
      <c r="S346" s="1386">
        <f t="shared" si="109"/>
        <v>0</v>
      </c>
      <c r="T346" s="1386">
        <f t="shared" si="109"/>
        <v>0</v>
      </c>
      <c r="U346" s="1386">
        <f t="shared" si="109"/>
        <v>0</v>
      </c>
      <c r="V346" s="1386">
        <f t="shared" si="109"/>
        <v>0</v>
      </c>
      <c r="W346" s="1386">
        <f t="shared" si="109"/>
        <v>0</v>
      </c>
      <c r="X346" s="1386">
        <f t="shared" si="109"/>
        <v>0</v>
      </c>
      <c r="Y346" s="1386">
        <f t="shared" si="109"/>
        <v>0</v>
      </c>
      <c r="Z346" s="1386">
        <f t="shared" si="109"/>
        <v>0</v>
      </c>
      <c r="AA346" s="1387">
        <f t="shared" si="109"/>
        <v>0</v>
      </c>
    </row>
    <row r="347" spans="1:27" x14ac:dyDescent="0.25">
      <c r="B347" s="611"/>
      <c r="C347" s="609" t="s">
        <v>85</v>
      </c>
      <c r="D347" s="609"/>
      <c r="E347" s="609"/>
      <c r="F347" s="609"/>
      <c r="G347" s="609"/>
      <c r="H347" s="1384">
        <f>H345+H346</f>
        <v>0</v>
      </c>
      <c r="I347" s="1384">
        <f t="shared" ref="I347:AA347" si="110">I345+I346</f>
        <v>0</v>
      </c>
      <c r="J347" s="1384">
        <f t="shared" si="110"/>
        <v>0</v>
      </c>
      <c r="K347" s="1384">
        <f t="shared" si="110"/>
        <v>0</v>
      </c>
      <c r="L347" s="1384">
        <f t="shared" si="110"/>
        <v>0</v>
      </c>
      <c r="M347" s="1384">
        <f t="shared" si="110"/>
        <v>0</v>
      </c>
      <c r="N347" s="1384">
        <f t="shared" si="110"/>
        <v>0</v>
      </c>
      <c r="O347" s="1384">
        <f t="shared" si="110"/>
        <v>0</v>
      </c>
      <c r="P347" s="1384">
        <f t="shared" si="110"/>
        <v>0</v>
      </c>
      <c r="Q347" s="1384">
        <f t="shared" si="110"/>
        <v>0</v>
      </c>
      <c r="R347" s="1384">
        <f t="shared" si="110"/>
        <v>0</v>
      </c>
      <c r="S347" s="1384">
        <f t="shared" si="110"/>
        <v>0</v>
      </c>
      <c r="T347" s="1384">
        <f t="shared" si="110"/>
        <v>0</v>
      </c>
      <c r="U347" s="1384">
        <f t="shared" si="110"/>
        <v>0</v>
      </c>
      <c r="V347" s="1384">
        <f t="shared" si="110"/>
        <v>0</v>
      </c>
      <c r="W347" s="1384">
        <f t="shared" si="110"/>
        <v>0</v>
      </c>
      <c r="X347" s="1384">
        <f t="shared" si="110"/>
        <v>0</v>
      </c>
      <c r="Y347" s="1384">
        <f t="shared" si="110"/>
        <v>0</v>
      </c>
      <c r="Z347" s="1384">
        <f t="shared" si="110"/>
        <v>0</v>
      </c>
      <c r="AA347" s="1385">
        <f t="shared" si="110"/>
        <v>0</v>
      </c>
    </row>
    <row r="348" spans="1:27" ht="13.8" thickBot="1" x14ac:dyDescent="0.3">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263</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3" t="s">
        <v>58</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8" thickBot="1" x14ac:dyDescent="0.3">
      <c r="F354" s="206"/>
    </row>
    <row r="355" spans="2:27" x14ac:dyDescent="0.25">
      <c r="B355" s="624" t="s">
        <v>485</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2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25">
      <c r="B357" s="627"/>
      <c r="C357" s="630" t="s">
        <v>64</v>
      </c>
      <c r="D357" s="631" t="str">
        <f>'III. Inputs, Renewable Energy'!$U$17</f>
        <v>MODEL VERSION 2.0 (OCTOBER 2016)</v>
      </c>
      <c r="E357" s="632" t="s">
        <v>20</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2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25">
      <c r="B359" s="627"/>
      <c r="C359" s="628" t="s">
        <v>59</v>
      </c>
      <c r="D359" s="628"/>
      <c r="E359" s="628"/>
      <c r="F359" s="628"/>
      <c r="G359" s="633"/>
      <c r="H359" s="634" t="e">
        <f>IF(H353&gt;$D$357,0,1/$D$357)</f>
        <v>#VALUE!</v>
      </c>
      <c r="I359" s="634" t="e">
        <f t="shared" ref="I359:AA359" si="111">IF(I353&gt;$D$357,0,1/$D$357)</f>
        <v>#VALUE!</v>
      </c>
      <c r="J359" s="634" t="e">
        <f t="shared" si="111"/>
        <v>#VALUE!</v>
      </c>
      <c r="K359" s="634" t="e">
        <f t="shared" si="111"/>
        <v>#VALUE!</v>
      </c>
      <c r="L359" s="634" t="e">
        <f t="shared" si="111"/>
        <v>#VALUE!</v>
      </c>
      <c r="M359" s="634" t="e">
        <f t="shared" si="111"/>
        <v>#VALUE!</v>
      </c>
      <c r="N359" s="634" t="e">
        <f t="shared" si="111"/>
        <v>#VALUE!</v>
      </c>
      <c r="O359" s="634" t="e">
        <f t="shared" si="111"/>
        <v>#VALUE!</v>
      </c>
      <c r="P359" s="634" t="e">
        <f t="shared" si="111"/>
        <v>#VALUE!</v>
      </c>
      <c r="Q359" s="634" t="e">
        <f t="shared" si="111"/>
        <v>#VALUE!</v>
      </c>
      <c r="R359" s="634" t="e">
        <f t="shared" si="111"/>
        <v>#VALUE!</v>
      </c>
      <c r="S359" s="634" t="e">
        <f t="shared" si="111"/>
        <v>#VALUE!</v>
      </c>
      <c r="T359" s="634" t="e">
        <f t="shared" si="111"/>
        <v>#VALUE!</v>
      </c>
      <c r="U359" s="634" t="e">
        <f t="shared" si="111"/>
        <v>#VALUE!</v>
      </c>
      <c r="V359" s="634" t="e">
        <f t="shared" si="111"/>
        <v>#VALUE!</v>
      </c>
      <c r="W359" s="634" t="e">
        <f t="shared" si="111"/>
        <v>#VALUE!</v>
      </c>
      <c r="X359" s="634" t="e">
        <f t="shared" si="111"/>
        <v>#VALUE!</v>
      </c>
      <c r="Y359" s="634" t="e">
        <f t="shared" si="111"/>
        <v>#VALUE!</v>
      </c>
      <c r="Z359" s="634" t="e">
        <f t="shared" si="111"/>
        <v>#VALUE!</v>
      </c>
      <c r="AA359" s="635" t="e">
        <f t="shared" si="111"/>
        <v>#VALUE!</v>
      </c>
    </row>
    <row r="360" spans="2:27" x14ac:dyDescent="0.25">
      <c r="B360" s="627"/>
      <c r="C360" s="628" t="s">
        <v>60</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2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x14ac:dyDescent="0.25">
      <c r="B362" s="627"/>
      <c r="C362" s="628"/>
      <c r="D362" s="628"/>
      <c r="E362" s="628"/>
      <c r="F362" s="637" t="s">
        <v>61</v>
      </c>
      <c r="G362" s="637" t="s">
        <v>62</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25">
      <c r="B363" s="627"/>
      <c r="C363" s="628" t="s">
        <v>57</v>
      </c>
      <c r="D363" s="628"/>
      <c r="E363" s="628"/>
      <c r="F363" s="634">
        <f>'III. Inputs, Renewable Energy'!S231</f>
        <v>0.95</v>
      </c>
      <c r="G363" s="1390">
        <f>'III. Inputs, Renewable Energy'!$U$14*'III. Inputs, Renewable Energy'!$U$15*F363</f>
        <v>0</v>
      </c>
      <c r="H363" s="1390" t="e">
        <f xml:space="preserve"> $G$363*H359</f>
        <v>#VALUE!</v>
      </c>
      <c r="I363" s="1390" t="e">
        <f t="shared" ref="I363:AA363" si="112" xml:space="preserve"> $G$363*I359</f>
        <v>#VALUE!</v>
      </c>
      <c r="J363" s="1390" t="e">
        <f t="shared" si="112"/>
        <v>#VALUE!</v>
      </c>
      <c r="K363" s="1390" t="e">
        <f t="shared" si="112"/>
        <v>#VALUE!</v>
      </c>
      <c r="L363" s="1390" t="e">
        <f t="shared" si="112"/>
        <v>#VALUE!</v>
      </c>
      <c r="M363" s="1390" t="e">
        <f t="shared" si="112"/>
        <v>#VALUE!</v>
      </c>
      <c r="N363" s="1390" t="e">
        <f t="shared" si="112"/>
        <v>#VALUE!</v>
      </c>
      <c r="O363" s="1390" t="e">
        <f t="shared" si="112"/>
        <v>#VALUE!</v>
      </c>
      <c r="P363" s="1390" t="e">
        <f t="shared" si="112"/>
        <v>#VALUE!</v>
      </c>
      <c r="Q363" s="1390" t="e">
        <f t="shared" si="112"/>
        <v>#VALUE!</v>
      </c>
      <c r="R363" s="1390" t="e">
        <f t="shared" si="112"/>
        <v>#VALUE!</v>
      </c>
      <c r="S363" s="1390" t="e">
        <f t="shared" si="112"/>
        <v>#VALUE!</v>
      </c>
      <c r="T363" s="1390" t="e">
        <f t="shared" si="112"/>
        <v>#VALUE!</v>
      </c>
      <c r="U363" s="1390" t="e">
        <f t="shared" si="112"/>
        <v>#VALUE!</v>
      </c>
      <c r="V363" s="1390" t="e">
        <f t="shared" si="112"/>
        <v>#VALUE!</v>
      </c>
      <c r="W363" s="1390" t="e">
        <f t="shared" si="112"/>
        <v>#VALUE!</v>
      </c>
      <c r="X363" s="1390" t="e">
        <f t="shared" si="112"/>
        <v>#VALUE!</v>
      </c>
      <c r="Y363" s="1390" t="e">
        <f t="shared" si="112"/>
        <v>#VALUE!</v>
      </c>
      <c r="Z363" s="1390" t="e">
        <f t="shared" si="112"/>
        <v>#VALUE!</v>
      </c>
      <c r="AA363" s="1391" t="e">
        <f t="shared" si="112"/>
        <v>#VALUE!</v>
      </c>
    </row>
    <row r="364" spans="2:27" x14ac:dyDescent="0.25">
      <c r="B364" s="627"/>
      <c r="C364" s="638" t="s">
        <v>18</v>
      </c>
      <c r="D364" s="638"/>
      <c r="E364" s="638"/>
      <c r="F364" s="639">
        <f>'III. Inputs, Renewable Energy'!S232</f>
        <v>0.05</v>
      </c>
      <c r="G364" s="1392">
        <f>'III. Inputs, Renewable Energy'!$U$14*'III. Inputs, Renewable Energy'!$U$15*F364</f>
        <v>0</v>
      </c>
      <c r="H364" s="1392">
        <f>$G$364*H360</f>
        <v>0</v>
      </c>
      <c r="I364" s="1392">
        <f t="shared" ref="I364:AA364" si="113">$G$364*I360</f>
        <v>0</v>
      </c>
      <c r="J364" s="1392">
        <f t="shared" si="113"/>
        <v>0</v>
      </c>
      <c r="K364" s="1392">
        <f t="shared" si="113"/>
        <v>0</v>
      </c>
      <c r="L364" s="1392">
        <f t="shared" si="113"/>
        <v>0</v>
      </c>
      <c r="M364" s="1392">
        <f t="shared" si="113"/>
        <v>0</v>
      </c>
      <c r="N364" s="1392">
        <f t="shared" si="113"/>
        <v>0</v>
      </c>
      <c r="O364" s="1392">
        <f t="shared" si="113"/>
        <v>0</v>
      </c>
      <c r="P364" s="1392">
        <f t="shared" si="113"/>
        <v>0</v>
      </c>
      <c r="Q364" s="1392">
        <f t="shared" si="113"/>
        <v>0</v>
      </c>
      <c r="R364" s="1392">
        <f t="shared" si="113"/>
        <v>0</v>
      </c>
      <c r="S364" s="1392">
        <f t="shared" si="113"/>
        <v>0</v>
      </c>
      <c r="T364" s="1392">
        <f t="shared" si="113"/>
        <v>0</v>
      </c>
      <c r="U364" s="1392">
        <f t="shared" si="113"/>
        <v>0</v>
      </c>
      <c r="V364" s="1392">
        <f t="shared" si="113"/>
        <v>0</v>
      </c>
      <c r="W364" s="1392">
        <f t="shared" si="113"/>
        <v>0</v>
      </c>
      <c r="X364" s="1392">
        <f t="shared" si="113"/>
        <v>0</v>
      </c>
      <c r="Y364" s="1392">
        <f t="shared" si="113"/>
        <v>0</v>
      </c>
      <c r="Z364" s="1392">
        <f t="shared" si="113"/>
        <v>0</v>
      </c>
      <c r="AA364" s="1393">
        <f t="shared" si="113"/>
        <v>0</v>
      </c>
    </row>
    <row r="365" spans="2:27" x14ac:dyDescent="0.25">
      <c r="B365" s="627"/>
      <c r="C365" s="628" t="s">
        <v>63</v>
      </c>
      <c r="D365" s="628"/>
      <c r="E365" s="628"/>
      <c r="F365" s="628"/>
      <c r="G365" s="1390">
        <f>G363+G364</f>
        <v>0</v>
      </c>
      <c r="H365" s="1390" t="e">
        <f>H363+H364</f>
        <v>#VALUE!</v>
      </c>
      <c r="I365" s="1390" t="e">
        <f t="shared" ref="I365:AA365" si="114">I363+I364</f>
        <v>#VALUE!</v>
      </c>
      <c r="J365" s="1390" t="e">
        <f t="shared" si="114"/>
        <v>#VALUE!</v>
      </c>
      <c r="K365" s="1390" t="e">
        <f t="shared" si="114"/>
        <v>#VALUE!</v>
      </c>
      <c r="L365" s="1390" t="e">
        <f t="shared" si="114"/>
        <v>#VALUE!</v>
      </c>
      <c r="M365" s="1390" t="e">
        <f t="shared" si="114"/>
        <v>#VALUE!</v>
      </c>
      <c r="N365" s="1390" t="e">
        <f t="shared" si="114"/>
        <v>#VALUE!</v>
      </c>
      <c r="O365" s="1390" t="e">
        <f t="shared" si="114"/>
        <v>#VALUE!</v>
      </c>
      <c r="P365" s="1390" t="e">
        <f t="shared" si="114"/>
        <v>#VALUE!</v>
      </c>
      <c r="Q365" s="1390" t="e">
        <f t="shared" si="114"/>
        <v>#VALUE!</v>
      </c>
      <c r="R365" s="1390" t="e">
        <f t="shared" si="114"/>
        <v>#VALUE!</v>
      </c>
      <c r="S365" s="1390" t="e">
        <f t="shared" si="114"/>
        <v>#VALUE!</v>
      </c>
      <c r="T365" s="1390" t="e">
        <f t="shared" si="114"/>
        <v>#VALUE!</v>
      </c>
      <c r="U365" s="1390" t="e">
        <f t="shared" si="114"/>
        <v>#VALUE!</v>
      </c>
      <c r="V365" s="1390" t="e">
        <f t="shared" si="114"/>
        <v>#VALUE!</v>
      </c>
      <c r="W365" s="1390" t="e">
        <f t="shared" si="114"/>
        <v>#VALUE!</v>
      </c>
      <c r="X365" s="1390" t="e">
        <f t="shared" si="114"/>
        <v>#VALUE!</v>
      </c>
      <c r="Y365" s="1390" t="e">
        <f t="shared" si="114"/>
        <v>#VALUE!</v>
      </c>
      <c r="Z365" s="1390" t="e">
        <f t="shared" si="114"/>
        <v>#VALUE!</v>
      </c>
      <c r="AA365" s="1391" t="e">
        <f t="shared" si="114"/>
        <v>#VALUE!</v>
      </c>
    </row>
    <row r="366" spans="2:27" x14ac:dyDescent="0.2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8" thickBot="1" x14ac:dyDescent="0.3">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8" thickBot="1" x14ac:dyDescent="0.3"/>
    <row r="369" spans="2:27" x14ac:dyDescent="0.25">
      <c r="B369" s="572" t="s">
        <v>477</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2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25">
      <c r="B371" s="575"/>
      <c r="C371" s="644" t="s">
        <v>64</v>
      </c>
      <c r="D371" s="645" t="str">
        <f>'III. Inputs, Renewable Energy'!$U$17</f>
        <v>MODEL VERSION 2.0 (OCTOBER 2016)</v>
      </c>
      <c r="E371" s="646" t="s">
        <v>20</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2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25">
      <c r="B373" s="575"/>
      <c r="C373" s="38" t="s">
        <v>59</v>
      </c>
      <c r="D373" s="38"/>
      <c r="E373" s="38"/>
      <c r="F373" s="38"/>
      <c r="G373" s="647"/>
      <c r="H373" s="580" t="e">
        <f>IF(H353&gt;$D$371,0,1/$D$371)</f>
        <v>#VALUE!</v>
      </c>
      <c r="I373" s="580" t="e">
        <f t="shared" ref="I373:AA373" si="115">IF(I353&gt;$D$371,0,1/$D$371)</f>
        <v>#VALUE!</v>
      </c>
      <c r="J373" s="580" t="e">
        <f t="shared" si="115"/>
        <v>#VALUE!</v>
      </c>
      <c r="K373" s="580" t="e">
        <f t="shared" si="115"/>
        <v>#VALUE!</v>
      </c>
      <c r="L373" s="580" t="e">
        <f t="shared" si="115"/>
        <v>#VALUE!</v>
      </c>
      <c r="M373" s="580" t="e">
        <f t="shared" si="115"/>
        <v>#VALUE!</v>
      </c>
      <c r="N373" s="580" t="e">
        <f t="shared" si="115"/>
        <v>#VALUE!</v>
      </c>
      <c r="O373" s="580" t="e">
        <f t="shared" si="115"/>
        <v>#VALUE!</v>
      </c>
      <c r="P373" s="580" t="e">
        <f t="shared" si="115"/>
        <v>#VALUE!</v>
      </c>
      <c r="Q373" s="580" t="e">
        <f t="shared" si="115"/>
        <v>#VALUE!</v>
      </c>
      <c r="R373" s="580" t="e">
        <f t="shared" si="115"/>
        <v>#VALUE!</v>
      </c>
      <c r="S373" s="580" t="e">
        <f t="shared" si="115"/>
        <v>#VALUE!</v>
      </c>
      <c r="T373" s="580" t="e">
        <f t="shared" si="115"/>
        <v>#VALUE!</v>
      </c>
      <c r="U373" s="580" t="e">
        <f t="shared" si="115"/>
        <v>#VALUE!</v>
      </c>
      <c r="V373" s="580" t="e">
        <f t="shared" si="115"/>
        <v>#VALUE!</v>
      </c>
      <c r="W373" s="580" t="e">
        <f t="shared" si="115"/>
        <v>#VALUE!</v>
      </c>
      <c r="X373" s="580" t="e">
        <f t="shared" si="115"/>
        <v>#VALUE!</v>
      </c>
      <c r="Y373" s="580" t="e">
        <f t="shared" si="115"/>
        <v>#VALUE!</v>
      </c>
      <c r="Z373" s="580" t="e">
        <f t="shared" si="115"/>
        <v>#VALUE!</v>
      </c>
      <c r="AA373" s="648" t="e">
        <f t="shared" si="115"/>
        <v>#VALUE!</v>
      </c>
    </row>
    <row r="374" spans="2:27" x14ac:dyDescent="0.25">
      <c r="B374" s="575"/>
      <c r="C374" s="38" t="s">
        <v>60</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2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x14ac:dyDescent="0.25">
      <c r="B376" s="575"/>
      <c r="C376" s="38"/>
      <c r="D376" s="38"/>
      <c r="E376" s="38"/>
      <c r="F376" s="597" t="s">
        <v>61</v>
      </c>
      <c r="G376" s="597" t="s">
        <v>62</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25">
      <c r="B377" s="575"/>
      <c r="C377" s="38" t="s">
        <v>57</v>
      </c>
      <c r="D377" s="38"/>
      <c r="E377" s="38"/>
      <c r="F377" s="580">
        <f>'III. Inputs, Renewable Energy'!V231</f>
        <v>0.95</v>
      </c>
      <c r="G377" s="1369">
        <f>'III. Inputs, Renewable Energy'!$U$14*'III. Inputs, Renewable Energy'!$U$15*F377</f>
        <v>0</v>
      </c>
      <c r="H377" s="1369" t="e">
        <f>$G$377*H373</f>
        <v>#VALUE!</v>
      </c>
      <c r="I377" s="1369" t="e">
        <f t="shared" ref="I377:AA377" si="116">$G$377*I373</f>
        <v>#VALUE!</v>
      </c>
      <c r="J377" s="1369" t="e">
        <f t="shared" si="116"/>
        <v>#VALUE!</v>
      </c>
      <c r="K377" s="1369" t="e">
        <f t="shared" si="116"/>
        <v>#VALUE!</v>
      </c>
      <c r="L377" s="1369" t="e">
        <f t="shared" si="116"/>
        <v>#VALUE!</v>
      </c>
      <c r="M377" s="1369" t="e">
        <f t="shared" si="116"/>
        <v>#VALUE!</v>
      </c>
      <c r="N377" s="1369" t="e">
        <f t="shared" si="116"/>
        <v>#VALUE!</v>
      </c>
      <c r="O377" s="1369" t="e">
        <f t="shared" si="116"/>
        <v>#VALUE!</v>
      </c>
      <c r="P377" s="1369" t="e">
        <f t="shared" si="116"/>
        <v>#VALUE!</v>
      </c>
      <c r="Q377" s="1369" t="e">
        <f t="shared" si="116"/>
        <v>#VALUE!</v>
      </c>
      <c r="R377" s="1369" t="e">
        <f t="shared" si="116"/>
        <v>#VALUE!</v>
      </c>
      <c r="S377" s="1369" t="e">
        <f t="shared" si="116"/>
        <v>#VALUE!</v>
      </c>
      <c r="T377" s="1369" t="e">
        <f t="shared" si="116"/>
        <v>#VALUE!</v>
      </c>
      <c r="U377" s="1369" t="e">
        <f t="shared" si="116"/>
        <v>#VALUE!</v>
      </c>
      <c r="V377" s="1369" t="e">
        <f t="shared" si="116"/>
        <v>#VALUE!</v>
      </c>
      <c r="W377" s="1369" t="e">
        <f t="shared" si="116"/>
        <v>#VALUE!</v>
      </c>
      <c r="X377" s="1369" t="e">
        <f t="shared" si="116"/>
        <v>#VALUE!</v>
      </c>
      <c r="Y377" s="1369" t="e">
        <f t="shared" si="116"/>
        <v>#VALUE!</v>
      </c>
      <c r="Z377" s="1369" t="e">
        <f t="shared" si="116"/>
        <v>#VALUE!</v>
      </c>
      <c r="AA377" s="1372" t="e">
        <f t="shared" si="116"/>
        <v>#VALUE!</v>
      </c>
    </row>
    <row r="378" spans="2:27" x14ac:dyDescent="0.25">
      <c r="B378" s="575"/>
      <c r="C378" s="39" t="s">
        <v>18</v>
      </c>
      <c r="D378" s="39"/>
      <c r="E378" s="39"/>
      <c r="F378" s="650">
        <f>'III. Inputs, Renewable Energy'!V232</f>
        <v>0.05</v>
      </c>
      <c r="G378" s="1373">
        <f>'III. Inputs, Renewable Energy'!$U$14*'III. Inputs, Renewable Energy'!$U$15*F378</f>
        <v>0</v>
      </c>
      <c r="H378" s="1373">
        <f>$G$378*H374</f>
        <v>0</v>
      </c>
      <c r="I378" s="1373">
        <f t="shared" ref="I378:AA378" si="117">$G$378*I374</f>
        <v>0</v>
      </c>
      <c r="J378" s="1373">
        <f t="shared" si="117"/>
        <v>0</v>
      </c>
      <c r="K378" s="1373">
        <f t="shared" si="117"/>
        <v>0</v>
      </c>
      <c r="L378" s="1373">
        <f t="shared" si="117"/>
        <v>0</v>
      </c>
      <c r="M378" s="1373">
        <f t="shared" si="117"/>
        <v>0</v>
      </c>
      <c r="N378" s="1373">
        <f t="shared" si="117"/>
        <v>0</v>
      </c>
      <c r="O378" s="1373">
        <f t="shared" si="117"/>
        <v>0</v>
      </c>
      <c r="P378" s="1373">
        <f t="shared" si="117"/>
        <v>0</v>
      </c>
      <c r="Q378" s="1373">
        <f t="shared" si="117"/>
        <v>0</v>
      </c>
      <c r="R378" s="1373">
        <f t="shared" si="117"/>
        <v>0</v>
      </c>
      <c r="S378" s="1373">
        <f t="shared" si="117"/>
        <v>0</v>
      </c>
      <c r="T378" s="1373">
        <f t="shared" si="117"/>
        <v>0</v>
      </c>
      <c r="U378" s="1373">
        <f t="shared" si="117"/>
        <v>0</v>
      </c>
      <c r="V378" s="1373">
        <f t="shared" si="117"/>
        <v>0</v>
      </c>
      <c r="W378" s="1373">
        <f t="shared" si="117"/>
        <v>0</v>
      </c>
      <c r="X378" s="1373">
        <f t="shared" si="117"/>
        <v>0</v>
      </c>
      <c r="Y378" s="1373">
        <f t="shared" si="117"/>
        <v>0</v>
      </c>
      <c r="Z378" s="1373">
        <f t="shared" si="117"/>
        <v>0</v>
      </c>
      <c r="AA378" s="1374">
        <f t="shared" si="117"/>
        <v>0</v>
      </c>
    </row>
    <row r="379" spans="2:27" x14ac:dyDescent="0.25">
      <c r="B379" s="575"/>
      <c r="C379" s="38" t="s">
        <v>63</v>
      </c>
      <c r="D379" s="38"/>
      <c r="E379" s="38"/>
      <c r="F379" s="38"/>
      <c r="G379" s="1369">
        <f>G377+G378</f>
        <v>0</v>
      </c>
      <c r="H379" s="1369" t="e">
        <f>H377+H378</f>
        <v>#VALUE!</v>
      </c>
      <c r="I379" s="1369" t="e">
        <f t="shared" ref="I379:AA379" si="118">I377+I378</f>
        <v>#VALUE!</v>
      </c>
      <c r="J379" s="1369" t="e">
        <f t="shared" si="118"/>
        <v>#VALUE!</v>
      </c>
      <c r="K379" s="1369" t="e">
        <f t="shared" si="118"/>
        <v>#VALUE!</v>
      </c>
      <c r="L379" s="1369" t="e">
        <f t="shared" si="118"/>
        <v>#VALUE!</v>
      </c>
      <c r="M379" s="1369" t="e">
        <f t="shared" si="118"/>
        <v>#VALUE!</v>
      </c>
      <c r="N379" s="1369" t="e">
        <f t="shared" si="118"/>
        <v>#VALUE!</v>
      </c>
      <c r="O379" s="1369" t="e">
        <f t="shared" si="118"/>
        <v>#VALUE!</v>
      </c>
      <c r="P379" s="1369" t="e">
        <f t="shared" si="118"/>
        <v>#VALUE!</v>
      </c>
      <c r="Q379" s="1369" t="e">
        <f t="shared" si="118"/>
        <v>#VALUE!</v>
      </c>
      <c r="R379" s="1369" t="e">
        <f t="shared" si="118"/>
        <v>#VALUE!</v>
      </c>
      <c r="S379" s="1369" t="e">
        <f t="shared" si="118"/>
        <v>#VALUE!</v>
      </c>
      <c r="T379" s="1369" t="e">
        <f t="shared" si="118"/>
        <v>#VALUE!</v>
      </c>
      <c r="U379" s="1369" t="e">
        <f t="shared" si="118"/>
        <v>#VALUE!</v>
      </c>
      <c r="V379" s="1369" t="e">
        <f t="shared" si="118"/>
        <v>#VALUE!</v>
      </c>
      <c r="W379" s="1369" t="e">
        <f t="shared" si="118"/>
        <v>#VALUE!</v>
      </c>
      <c r="X379" s="1369" t="e">
        <f t="shared" si="118"/>
        <v>#VALUE!</v>
      </c>
      <c r="Y379" s="1369" t="e">
        <f t="shared" si="118"/>
        <v>#VALUE!</v>
      </c>
      <c r="Z379" s="1369" t="e">
        <f t="shared" si="118"/>
        <v>#VALUE!</v>
      </c>
      <c r="AA379" s="1372" t="e">
        <f t="shared" si="118"/>
        <v>#VALUE!</v>
      </c>
    </row>
    <row r="380" spans="2:27" x14ac:dyDescent="0.2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8" thickBot="1" x14ac:dyDescent="0.3">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25">
      <c r="F382" s="682"/>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0"/>
  <sheetViews>
    <sheetView showGridLines="0" zoomScale="85" zoomScaleNormal="85" zoomScalePageLayoutView="85" workbookViewId="0"/>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1465" t="s">
        <v>639</v>
      </c>
    </row>
    <row r="2" spans="1:27" x14ac:dyDescent="0.25"/>
    <row r="3" spans="1:27" s="58" customFormat="1" x14ac:dyDescent="0.25">
      <c r="A3" s="5" t="s">
        <v>486</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088"/>
      <c r="R4" s="1088"/>
      <c r="S4" s="1088"/>
      <c r="V4" s="1087"/>
      <c r="W4" s="1087"/>
      <c r="X4" s="1087"/>
      <c r="Y4" s="1087"/>
      <c r="Z4" s="1087"/>
      <c r="AA4" s="1087"/>
    </row>
    <row r="5" spans="1:27" s="8" customFormat="1" ht="12.75" customHeight="1" x14ac:dyDescent="0.25">
      <c r="B5" s="8" t="s">
        <v>213</v>
      </c>
      <c r="T5" s="50"/>
      <c r="W5" s="50"/>
      <c r="X5" s="50"/>
      <c r="Y5" s="50"/>
      <c r="Z5" s="50"/>
      <c r="AA5" s="50"/>
    </row>
    <row r="6" spans="1:27" s="8" customFormat="1" ht="12.75" customHeight="1" x14ac:dyDescent="0.25">
      <c r="C6" s="8" t="s">
        <v>494</v>
      </c>
      <c r="T6" s="51"/>
      <c r="W6" s="51"/>
      <c r="X6" s="51"/>
      <c r="Y6" s="51"/>
      <c r="Z6" s="51"/>
      <c r="AA6" s="51"/>
    </row>
    <row r="7" spans="1:27" s="8" customFormat="1" ht="12.75" customHeight="1" x14ac:dyDescent="0.25">
      <c r="C7" s="8" t="s">
        <v>495</v>
      </c>
      <c r="T7" s="51"/>
      <c r="W7" s="51"/>
      <c r="X7" s="51"/>
      <c r="Y7" s="51"/>
      <c r="Z7" s="51"/>
      <c r="AA7" s="51"/>
    </row>
    <row r="8" spans="1:27" s="8" customFormat="1" ht="12.75" customHeight="1" x14ac:dyDescent="0.25">
      <c r="C8" s="8" t="s">
        <v>331</v>
      </c>
      <c r="T8" s="50"/>
      <c r="W8" s="50"/>
      <c r="X8" s="50"/>
      <c r="Y8" s="50"/>
      <c r="Z8" s="50"/>
      <c r="AA8" s="50"/>
    </row>
    <row r="9" spans="1:27" s="8" customFormat="1" x14ac:dyDescent="0.25">
      <c r="C9" s="8" t="s">
        <v>264</v>
      </c>
      <c r="Q9" s="1088"/>
      <c r="R9" s="1088"/>
      <c r="S9" s="1088"/>
    </row>
    <row r="10" spans="1:27" s="8" customFormat="1" ht="12.75" customHeight="1" x14ac:dyDescent="0.25">
      <c r="Q10" s="1088"/>
      <c r="R10" s="1088"/>
      <c r="S10" s="1088"/>
    </row>
    <row r="11" spans="1:27" s="8" customFormat="1" ht="12.75" customHeight="1" x14ac:dyDescent="0.25">
      <c r="A11" s="44" t="s">
        <v>487</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8" thickBot="1" x14ac:dyDescent="0.3">
      <c r="B13" s="36"/>
    </row>
    <row r="14" spans="1:27" x14ac:dyDescent="0.25">
      <c r="B14" s="537" t="s">
        <v>488</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9"/>
    </row>
    <row r="15" spans="1:27" x14ac:dyDescent="0.25">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2"/>
    </row>
    <row r="16" spans="1:27" x14ac:dyDescent="0.25">
      <c r="B16" s="543" t="s">
        <v>58</v>
      </c>
      <c r="C16" s="544"/>
      <c r="D16" s="544"/>
      <c r="E16" s="545"/>
      <c r="F16" s="544"/>
      <c r="G16" s="545">
        <v>0</v>
      </c>
      <c r="H16" s="545">
        <v>1</v>
      </c>
      <c r="I16" s="545">
        <v>2</v>
      </c>
      <c r="J16" s="545">
        <v>3</v>
      </c>
      <c r="K16" s="545">
        <v>4</v>
      </c>
      <c r="L16" s="545">
        <v>5</v>
      </c>
      <c r="M16" s="545">
        <v>6</v>
      </c>
      <c r="N16" s="545">
        <v>7</v>
      </c>
      <c r="O16" s="545">
        <v>8</v>
      </c>
      <c r="P16" s="545">
        <v>9</v>
      </c>
      <c r="Q16" s="545">
        <v>10</v>
      </c>
      <c r="R16" s="545">
        <v>11</v>
      </c>
      <c r="S16" s="545">
        <v>12</v>
      </c>
      <c r="T16" s="545">
        <v>13</v>
      </c>
      <c r="U16" s="545">
        <v>14</v>
      </c>
      <c r="V16" s="545">
        <v>15</v>
      </c>
      <c r="W16" s="545">
        <v>16</v>
      </c>
      <c r="X16" s="545">
        <v>17</v>
      </c>
      <c r="Y16" s="545">
        <v>18</v>
      </c>
      <c r="Z16" s="545">
        <v>19</v>
      </c>
      <c r="AA16" s="546">
        <v>20</v>
      </c>
    </row>
    <row r="17" spans="2:27" x14ac:dyDescent="0.25">
      <c r="B17" s="540"/>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row>
    <row r="18" spans="2:27" x14ac:dyDescent="0.25">
      <c r="B18" s="540" t="s">
        <v>13</v>
      </c>
      <c r="C18" s="541"/>
      <c r="D18" s="541"/>
      <c r="E18" s="209"/>
      <c r="F18" s="541"/>
      <c r="G18" s="541"/>
      <c r="H18" s="547">
        <f>IF(H$16&gt;'III. Inputs, Renewable Energy'!$U$17,0, 'III. Inputs, Renewable Energy'!$U$217)</f>
        <v>1</v>
      </c>
      <c r="I18" s="547">
        <f>IF(I$16&gt;'III. Inputs, Renewable Energy'!$U$17,0, 'III. Inputs, Renewable Energy'!$U$217)</f>
        <v>1</v>
      </c>
      <c r="J18" s="547">
        <f>IF(J$16&gt;'III. Inputs, Renewable Energy'!$U$17,0, 'III. Inputs, Renewable Energy'!$U$217)</f>
        <v>1</v>
      </c>
      <c r="K18" s="547">
        <f>IF(K$16&gt;'III. Inputs, Renewable Energy'!$U$17,0, 'III. Inputs, Renewable Energy'!$U$217)</f>
        <v>1</v>
      </c>
      <c r="L18" s="547">
        <f>IF(L$16&gt;'III. Inputs, Renewable Energy'!$U$17,0, 'III. Inputs, Renewable Energy'!$U$217)</f>
        <v>1</v>
      </c>
      <c r="M18" s="547">
        <f>IF(M$16&gt;'III. Inputs, Renewable Energy'!$U$17,0, 'III. Inputs, Renewable Energy'!$U$217)</f>
        <v>1</v>
      </c>
      <c r="N18" s="547">
        <f>IF(N$16&gt;'III. Inputs, Renewable Energy'!$U$17,0, 'III. Inputs, Renewable Energy'!$U$217)</f>
        <v>1</v>
      </c>
      <c r="O18" s="547">
        <f>IF(O$16&gt;'III. Inputs, Renewable Energy'!$U$17,0, 'III. Inputs, Renewable Energy'!$U$217)</f>
        <v>1</v>
      </c>
      <c r="P18" s="547">
        <f>IF(P$16&gt;'III. Inputs, Renewable Energy'!$U$17,0, 'III. Inputs, Renewable Energy'!$U$217)</f>
        <v>1</v>
      </c>
      <c r="Q18" s="547">
        <f>IF(Q$16&gt;'III. Inputs, Renewable Energy'!$U$17,0, 'III. Inputs, Renewable Energy'!$U$217)</f>
        <v>1</v>
      </c>
      <c r="R18" s="547">
        <f>IF(R$16&gt;'III. Inputs, Renewable Energy'!$U$17,0, 'III. Inputs, Renewable Energy'!$U$217)</f>
        <v>1</v>
      </c>
      <c r="S18" s="547">
        <f>IF(S$16&gt;'III. Inputs, Renewable Energy'!$U$17,0, 'III. Inputs, Renewable Energy'!$U$217)</f>
        <v>1</v>
      </c>
      <c r="T18" s="547">
        <f>IF(T$16&gt;'III. Inputs, Renewable Energy'!$U$17,0, 'III. Inputs, Renewable Energy'!$U$217)</f>
        <v>1</v>
      </c>
      <c r="U18" s="547">
        <f>IF(U$16&gt;'III. Inputs, Renewable Energy'!$U$17,0, 'III. Inputs, Renewable Energy'!$U$217)</f>
        <v>1</v>
      </c>
      <c r="V18" s="547">
        <f>IF(V$16&gt;'III. Inputs, Renewable Energy'!$U$17,0, 'III. Inputs, Renewable Energy'!$U$217)</f>
        <v>1</v>
      </c>
      <c r="W18" s="547">
        <f>IF(W$16&gt;'III. Inputs, Renewable Energy'!$U$17,0, 'III. Inputs, Renewable Energy'!$U$217)</f>
        <v>1</v>
      </c>
      <c r="X18" s="547">
        <f>IF(X$16&gt;'III. Inputs, Renewable Energy'!$U$17,0, 'III. Inputs, Renewable Energy'!$U$217)</f>
        <v>1</v>
      </c>
      <c r="Y18" s="547">
        <f>IF(Y$16&gt;'III. Inputs, Renewable Energy'!$U$17,0, 'III. Inputs, Renewable Energy'!$U$217)</f>
        <v>1</v>
      </c>
      <c r="Z18" s="547">
        <f>IF(Z$16&gt;'III. Inputs, Renewable Energy'!$U$17,0, 'III. Inputs, Renewable Energy'!$U$217)</f>
        <v>1</v>
      </c>
      <c r="AA18" s="548">
        <f>IF(AA$16&gt;'III. Inputs, Renewable Energy'!$U$17,0, 'III. Inputs, Renewable Energy'!$U$217)</f>
        <v>1</v>
      </c>
    </row>
    <row r="19" spans="2:27" ht="4.5" customHeight="1" x14ac:dyDescent="0.25">
      <c r="B19" s="540"/>
      <c r="C19" s="541"/>
      <c r="D19" s="541"/>
      <c r="E19" s="209"/>
      <c r="F19" s="541"/>
      <c r="G19" s="541"/>
      <c r="H19" s="541"/>
      <c r="I19" s="541"/>
      <c r="J19" s="541"/>
      <c r="K19" s="541"/>
      <c r="L19" s="541"/>
      <c r="M19" s="541"/>
      <c r="N19" s="541"/>
      <c r="O19" s="541"/>
      <c r="P19" s="541"/>
      <c r="Q19" s="541"/>
      <c r="R19" s="541"/>
      <c r="S19" s="541"/>
      <c r="T19" s="541"/>
      <c r="U19" s="541"/>
      <c r="V19" s="541"/>
      <c r="W19" s="541"/>
      <c r="X19" s="541"/>
      <c r="Y19" s="541"/>
      <c r="Z19" s="541"/>
      <c r="AA19" s="542"/>
    </row>
    <row r="20" spans="2:27" x14ac:dyDescent="0.25">
      <c r="B20" s="540" t="s">
        <v>97</v>
      </c>
      <c r="C20" s="541"/>
      <c r="D20" s="541"/>
      <c r="E20" s="541"/>
      <c r="F20" s="209" t="s">
        <v>98</v>
      </c>
      <c r="G20" s="541"/>
      <c r="H20" s="549">
        <f>IF(H$16&gt;'III. Inputs, Renewable Energy'!$U$17, 0, 'III. Inputs, Renewable Energy'!$U$14*'III. Inputs, Renewable Energy'!$U$215*$H$18)</f>
        <v>0</v>
      </c>
      <c r="I20" s="549">
        <f>IF(I$16&gt;'III. Inputs, Renewable Energy'!$U$17, 0, 'III. Inputs, Renewable Energy'!$U$14*'III. Inputs, Renewable Energy'!$U$215*$H$18)</f>
        <v>0</v>
      </c>
      <c r="J20" s="549">
        <f>IF(J$16&gt;'III. Inputs, Renewable Energy'!$U$17, 0, 'III. Inputs, Renewable Energy'!$U$14*'III. Inputs, Renewable Energy'!$U$215*$H$18)</f>
        <v>0</v>
      </c>
      <c r="K20" s="549">
        <f>IF(K$16&gt;'III. Inputs, Renewable Energy'!$U$17, 0, 'III. Inputs, Renewable Energy'!$U$14*'III. Inputs, Renewable Energy'!$U$215*$H$18)</f>
        <v>0</v>
      </c>
      <c r="L20" s="549">
        <f>IF(L$16&gt;'III. Inputs, Renewable Energy'!$U$17, 0, 'III. Inputs, Renewable Energy'!$U$14*'III. Inputs, Renewable Energy'!$U$215*$H$18)</f>
        <v>0</v>
      </c>
      <c r="M20" s="549">
        <f>IF(M$16&gt;'III. Inputs, Renewable Energy'!$U$17, 0, 'III. Inputs, Renewable Energy'!$U$14*'III. Inputs, Renewable Energy'!$U$215*$H$18)</f>
        <v>0</v>
      </c>
      <c r="N20" s="549">
        <f>IF(N$16&gt;'III. Inputs, Renewable Energy'!$U$17, 0, 'III. Inputs, Renewable Energy'!$U$14*'III. Inputs, Renewable Energy'!$U$215*$H$18)</f>
        <v>0</v>
      </c>
      <c r="O20" s="549">
        <f>IF(O$16&gt;'III. Inputs, Renewable Energy'!$U$17, 0, 'III. Inputs, Renewable Energy'!$U$14*'III. Inputs, Renewable Energy'!$U$215*$H$18)</f>
        <v>0</v>
      </c>
      <c r="P20" s="549">
        <f>IF(P$16&gt;'III. Inputs, Renewable Energy'!$U$17, 0, 'III. Inputs, Renewable Energy'!$U$14*'III. Inputs, Renewable Energy'!$U$215*$H$18)</f>
        <v>0</v>
      </c>
      <c r="Q20" s="549">
        <f>IF(Q$16&gt;'III. Inputs, Renewable Energy'!$U$17, 0, 'III. Inputs, Renewable Energy'!$U$14*'III. Inputs, Renewable Energy'!$U$215*$H$18)</f>
        <v>0</v>
      </c>
      <c r="R20" s="549">
        <f>IF(R$16&gt;'III. Inputs, Renewable Energy'!$U$17, 0, 'III. Inputs, Renewable Energy'!$U$14*'III. Inputs, Renewable Energy'!$U$215*$H$18)</f>
        <v>0</v>
      </c>
      <c r="S20" s="549">
        <f>IF(S$16&gt;'III. Inputs, Renewable Energy'!$U$17, 0, 'III. Inputs, Renewable Energy'!$U$14*'III. Inputs, Renewable Energy'!$U$215*$H$18)</f>
        <v>0</v>
      </c>
      <c r="T20" s="549">
        <f>IF(T$16&gt;'III. Inputs, Renewable Energy'!$U$17, 0, 'III. Inputs, Renewable Energy'!$U$14*'III. Inputs, Renewable Energy'!$U$215*$H$18)</f>
        <v>0</v>
      </c>
      <c r="U20" s="549">
        <f>IF(U$16&gt;'III. Inputs, Renewable Energy'!$U$17, 0, 'III. Inputs, Renewable Energy'!$U$14*'III. Inputs, Renewable Energy'!$U$215*$H$18)</f>
        <v>0</v>
      </c>
      <c r="V20" s="549">
        <f>IF(V$16&gt;'III. Inputs, Renewable Energy'!$U$17, 0, 'III. Inputs, Renewable Energy'!$U$14*'III. Inputs, Renewable Energy'!$U$215*$H$18)</f>
        <v>0</v>
      </c>
      <c r="W20" s="549">
        <f>IF(W$16&gt;'III. Inputs, Renewable Energy'!$U$17, 0, 'III. Inputs, Renewable Energy'!$U$14*'III. Inputs, Renewable Energy'!$U$215*$H$18)</f>
        <v>0</v>
      </c>
      <c r="X20" s="549">
        <f>IF(X$16&gt;'III. Inputs, Renewable Energy'!$U$17, 0, 'III. Inputs, Renewable Energy'!$U$14*'III. Inputs, Renewable Energy'!$U$215*$H$18)</f>
        <v>0</v>
      </c>
      <c r="Y20" s="549">
        <f>IF(Y$16&gt;'III. Inputs, Renewable Energy'!$U$17, 0, 'III. Inputs, Renewable Energy'!$U$14*'III. Inputs, Renewable Energy'!$U$215*$H$18)</f>
        <v>0</v>
      </c>
      <c r="Z20" s="549">
        <f>IF(Z$16&gt;'III. Inputs, Renewable Energy'!$U$17, 0, 'III. Inputs, Renewable Energy'!$U$14*'III. Inputs, Renewable Energy'!$U$215*$H$18)</f>
        <v>0</v>
      </c>
      <c r="AA20" s="550">
        <f>IF(AA$16&gt;'III. Inputs, Renewable Energy'!$U$17, 0, 'III. Inputs, Renewable Energy'!$U$14*'III. Inputs, Renewable Energy'!$U$215*$H$18)</f>
        <v>0</v>
      </c>
    </row>
    <row r="21" spans="2:27" ht="7.5" customHeight="1" x14ac:dyDescent="0.25">
      <c r="B21" s="540"/>
      <c r="C21" s="541"/>
      <c r="D21" s="541"/>
      <c r="E21" s="209"/>
      <c r="F21" s="541"/>
      <c r="G21" s="541"/>
      <c r="H21" s="541"/>
      <c r="I21" s="541"/>
      <c r="J21" s="541"/>
      <c r="K21" s="541"/>
      <c r="L21" s="541"/>
      <c r="M21" s="541"/>
      <c r="N21" s="541"/>
      <c r="O21" s="541"/>
      <c r="P21" s="541"/>
      <c r="Q21" s="541"/>
      <c r="R21" s="541"/>
      <c r="S21" s="541"/>
      <c r="T21" s="541"/>
      <c r="U21" s="541"/>
      <c r="V21" s="541"/>
      <c r="W21" s="541"/>
      <c r="X21" s="541"/>
      <c r="Y21" s="541"/>
      <c r="Z21" s="541"/>
      <c r="AA21" s="542"/>
    </row>
    <row r="22" spans="2:27" x14ac:dyDescent="0.25">
      <c r="B22" s="543" t="s">
        <v>99</v>
      </c>
      <c r="C22" s="551"/>
      <c r="D22" s="551"/>
      <c r="E22" s="184"/>
      <c r="F22" s="184"/>
      <c r="G22" s="184"/>
      <c r="H22" s="184"/>
      <c r="I22" s="184"/>
      <c r="J22" s="184"/>
      <c r="K22" s="184"/>
      <c r="L22" s="184"/>
      <c r="M22" s="184"/>
      <c r="N22" s="184"/>
      <c r="O22" s="184"/>
      <c r="P22" s="184"/>
      <c r="Q22" s="184"/>
      <c r="R22" s="184"/>
      <c r="S22" s="184"/>
      <c r="T22" s="184"/>
      <c r="U22" s="184"/>
      <c r="V22" s="184"/>
      <c r="W22" s="184"/>
      <c r="X22" s="184"/>
      <c r="Y22" s="184"/>
      <c r="Z22" s="184"/>
      <c r="AA22" s="552"/>
    </row>
    <row r="23" spans="2:27" x14ac:dyDescent="0.25">
      <c r="B23" s="540"/>
      <c r="C23" s="541"/>
      <c r="D23" s="541"/>
      <c r="E23" s="209"/>
      <c r="F23" s="541"/>
      <c r="G23" s="541"/>
      <c r="H23" s="541"/>
      <c r="I23" s="541"/>
      <c r="J23" s="541"/>
      <c r="K23" s="541"/>
      <c r="L23" s="541"/>
      <c r="M23" s="541"/>
      <c r="N23" s="541"/>
      <c r="O23" s="541"/>
      <c r="P23" s="541"/>
      <c r="Q23" s="541"/>
      <c r="R23" s="541"/>
      <c r="S23" s="541"/>
      <c r="T23" s="541"/>
      <c r="U23" s="541"/>
      <c r="V23" s="541"/>
      <c r="W23" s="541"/>
      <c r="X23" s="541"/>
      <c r="Y23" s="541"/>
      <c r="Z23" s="541"/>
      <c r="AA23" s="542"/>
    </row>
    <row r="24" spans="2:27" x14ac:dyDescent="0.25">
      <c r="B24" s="540" t="s">
        <v>100</v>
      </c>
      <c r="C24" s="541"/>
      <c r="D24" s="541"/>
      <c r="E24" s="209"/>
      <c r="F24" s="209" t="s">
        <v>22</v>
      </c>
      <c r="G24" s="1193"/>
      <c r="H24" s="1394">
        <v>0</v>
      </c>
      <c r="I24" s="1394">
        <v>0</v>
      </c>
      <c r="J24" s="1394">
        <v>0</v>
      </c>
      <c r="K24" s="1394">
        <v>0</v>
      </c>
      <c r="L24" s="1394">
        <v>0</v>
      </c>
      <c r="M24" s="1394">
        <v>0</v>
      </c>
      <c r="N24" s="1394">
        <v>0</v>
      </c>
      <c r="O24" s="1394">
        <v>0</v>
      </c>
      <c r="P24" s="1394">
        <v>0</v>
      </c>
      <c r="Q24" s="1394">
        <v>0</v>
      </c>
      <c r="R24" s="1394">
        <v>0</v>
      </c>
      <c r="S24" s="1394">
        <v>0</v>
      </c>
      <c r="T24" s="1394">
        <v>0</v>
      </c>
      <c r="U24" s="1394">
        <v>0</v>
      </c>
      <c r="V24" s="1394">
        <v>0</v>
      </c>
      <c r="W24" s="1394">
        <v>0</v>
      </c>
      <c r="X24" s="1394">
        <v>0</v>
      </c>
      <c r="Y24" s="1394">
        <v>0</v>
      </c>
      <c r="Z24" s="1394">
        <v>0</v>
      </c>
      <c r="AA24" s="1394">
        <v>0</v>
      </c>
    </row>
    <row r="25" spans="2:27" x14ac:dyDescent="0.25">
      <c r="B25" s="540"/>
      <c r="C25" s="541"/>
      <c r="D25" s="541"/>
      <c r="E25" s="209"/>
      <c r="F25" s="209"/>
      <c r="G25" s="1193"/>
      <c r="H25" s="1358"/>
      <c r="I25" s="1358"/>
      <c r="J25" s="1358"/>
      <c r="K25" s="1358"/>
      <c r="L25" s="1358"/>
      <c r="M25" s="1358"/>
      <c r="N25" s="1358"/>
      <c r="O25" s="1358"/>
      <c r="P25" s="1358"/>
      <c r="Q25" s="1358"/>
      <c r="R25" s="1358"/>
      <c r="S25" s="1358"/>
      <c r="T25" s="1358"/>
      <c r="U25" s="1358"/>
      <c r="V25" s="1358"/>
      <c r="W25" s="1358"/>
      <c r="X25" s="1358"/>
      <c r="Y25" s="1358"/>
      <c r="Z25" s="1358"/>
      <c r="AA25" s="1359"/>
    </row>
    <row r="26" spans="2:27" x14ac:dyDescent="0.25">
      <c r="B26" s="540" t="s">
        <v>101</v>
      </c>
      <c r="C26" s="541"/>
      <c r="D26" s="541"/>
      <c r="E26" s="209"/>
      <c r="F26" s="209" t="s">
        <v>22</v>
      </c>
      <c r="G26" s="1193"/>
      <c r="H26" s="1357" t="e">
        <f>H365</f>
        <v>#VALUE!</v>
      </c>
      <c r="I26" s="1357" t="e">
        <f>I365</f>
        <v>#VALUE!</v>
      </c>
      <c r="J26" s="1357" t="e">
        <f t="shared" ref="J26:AA26" si="0">J365</f>
        <v>#VALUE!</v>
      </c>
      <c r="K26" s="1357" t="e">
        <f t="shared" si="0"/>
        <v>#VALUE!</v>
      </c>
      <c r="L26" s="1357" t="e">
        <f t="shared" si="0"/>
        <v>#VALUE!</v>
      </c>
      <c r="M26" s="1357" t="e">
        <f t="shared" si="0"/>
        <v>#VALUE!</v>
      </c>
      <c r="N26" s="1357" t="e">
        <f t="shared" si="0"/>
        <v>#VALUE!</v>
      </c>
      <c r="O26" s="1357" t="e">
        <f t="shared" si="0"/>
        <v>#VALUE!</v>
      </c>
      <c r="P26" s="1357" t="e">
        <f t="shared" si="0"/>
        <v>#VALUE!</v>
      </c>
      <c r="Q26" s="1357" t="e">
        <f t="shared" si="0"/>
        <v>#VALUE!</v>
      </c>
      <c r="R26" s="1357" t="e">
        <f t="shared" si="0"/>
        <v>#VALUE!</v>
      </c>
      <c r="S26" s="1357" t="e">
        <f t="shared" si="0"/>
        <v>#VALUE!</v>
      </c>
      <c r="T26" s="1357" t="e">
        <f t="shared" si="0"/>
        <v>#VALUE!</v>
      </c>
      <c r="U26" s="1357" t="e">
        <f t="shared" si="0"/>
        <v>#VALUE!</v>
      </c>
      <c r="V26" s="1357" t="e">
        <f t="shared" si="0"/>
        <v>#VALUE!</v>
      </c>
      <c r="W26" s="1357" t="e">
        <f t="shared" si="0"/>
        <v>#VALUE!</v>
      </c>
      <c r="X26" s="1357" t="e">
        <f t="shared" si="0"/>
        <v>#VALUE!</v>
      </c>
      <c r="Y26" s="1357" t="e">
        <f t="shared" si="0"/>
        <v>#VALUE!</v>
      </c>
      <c r="Z26" s="1357" t="e">
        <f t="shared" si="0"/>
        <v>#VALUE!</v>
      </c>
      <c r="AA26" s="1360" t="e">
        <f t="shared" si="0"/>
        <v>#VALUE!</v>
      </c>
    </row>
    <row r="27" spans="2:27" x14ac:dyDescent="0.25">
      <c r="B27" s="540"/>
      <c r="C27" s="541"/>
      <c r="D27" s="541"/>
      <c r="E27" s="209"/>
      <c r="F27" s="209"/>
      <c r="G27" s="1193"/>
      <c r="H27" s="1357"/>
      <c r="I27" s="1357"/>
      <c r="J27" s="1357"/>
      <c r="K27" s="1357"/>
      <c r="L27" s="1357"/>
      <c r="M27" s="1357"/>
      <c r="N27" s="1357"/>
      <c r="O27" s="1357"/>
      <c r="P27" s="1357"/>
      <c r="Q27" s="1357"/>
      <c r="R27" s="1357"/>
      <c r="S27" s="1357"/>
      <c r="T27" s="1357"/>
      <c r="U27" s="1357"/>
      <c r="V27" s="1357"/>
      <c r="W27" s="1357"/>
      <c r="X27" s="1357"/>
      <c r="Y27" s="1357"/>
      <c r="Z27" s="1357"/>
      <c r="AA27" s="1360"/>
    </row>
    <row r="28" spans="2:27" x14ac:dyDescent="0.25">
      <c r="B28" s="540" t="s">
        <v>256</v>
      </c>
      <c r="C28" s="541"/>
      <c r="D28" s="541"/>
      <c r="E28" s="209"/>
      <c r="F28" s="209" t="s">
        <v>22</v>
      </c>
      <c r="G28" s="1193"/>
      <c r="H28" s="1357">
        <f>H206</f>
        <v>0</v>
      </c>
      <c r="I28" s="1357">
        <f>I206</f>
        <v>0</v>
      </c>
      <c r="J28" s="1357">
        <f t="shared" ref="J28:AA28" si="1">J206</f>
        <v>0</v>
      </c>
      <c r="K28" s="1357">
        <f t="shared" si="1"/>
        <v>0</v>
      </c>
      <c r="L28" s="1357">
        <f t="shared" si="1"/>
        <v>0</v>
      </c>
      <c r="M28" s="1357">
        <f t="shared" si="1"/>
        <v>0</v>
      </c>
      <c r="N28" s="1357">
        <f t="shared" si="1"/>
        <v>0</v>
      </c>
      <c r="O28" s="1357">
        <f t="shared" si="1"/>
        <v>0</v>
      </c>
      <c r="P28" s="1357">
        <f t="shared" si="1"/>
        <v>0</v>
      </c>
      <c r="Q28" s="1357">
        <f t="shared" si="1"/>
        <v>0</v>
      </c>
      <c r="R28" s="1357">
        <f t="shared" si="1"/>
        <v>0</v>
      </c>
      <c r="S28" s="1357">
        <f t="shared" si="1"/>
        <v>0</v>
      </c>
      <c r="T28" s="1357">
        <f t="shared" si="1"/>
        <v>0</v>
      </c>
      <c r="U28" s="1357">
        <f t="shared" si="1"/>
        <v>0</v>
      </c>
      <c r="V28" s="1357">
        <f t="shared" si="1"/>
        <v>0</v>
      </c>
      <c r="W28" s="1357">
        <f t="shared" si="1"/>
        <v>0</v>
      </c>
      <c r="X28" s="1357">
        <f t="shared" si="1"/>
        <v>0</v>
      </c>
      <c r="Y28" s="1357">
        <f t="shared" si="1"/>
        <v>0</v>
      </c>
      <c r="Z28" s="1357">
        <f t="shared" si="1"/>
        <v>0</v>
      </c>
      <c r="AA28" s="1360">
        <f t="shared" si="1"/>
        <v>0</v>
      </c>
    </row>
    <row r="29" spans="2:27" x14ac:dyDescent="0.25">
      <c r="B29" s="540" t="s">
        <v>188</v>
      </c>
      <c r="C29" s="541"/>
      <c r="D29" s="541"/>
      <c r="E29" s="209"/>
      <c r="F29" s="209" t="s">
        <v>22</v>
      </c>
      <c r="G29" s="1193"/>
      <c r="H29" s="1357">
        <f>H227</f>
        <v>0</v>
      </c>
      <c r="I29" s="1357">
        <f>I227</f>
        <v>0</v>
      </c>
      <c r="J29" s="1357">
        <f t="shared" ref="J29:AA29" si="2">J227</f>
        <v>0</v>
      </c>
      <c r="K29" s="1357">
        <f t="shared" si="2"/>
        <v>0</v>
      </c>
      <c r="L29" s="1357">
        <f t="shared" si="2"/>
        <v>0</v>
      </c>
      <c r="M29" s="1357">
        <f t="shared" si="2"/>
        <v>0</v>
      </c>
      <c r="N29" s="1357">
        <f t="shared" si="2"/>
        <v>0</v>
      </c>
      <c r="O29" s="1357">
        <f t="shared" si="2"/>
        <v>0</v>
      </c>
      <c r="P29" s="1357">
        <f t="shared" si="2"/>
        <v>0</v>
      </c>
      <c r="Q29" s="1357">
        <f t="shared" si="2"/>
        <v>0</v>
      </c>
      <c r="R29" s="1357">
        <f t="shared" si="2"/>
        <v>0</v>
      </c>
      <c r="S29" s="1357">
        <f t="shared" si="2"/>
        <v>0</v>
      </c>
      <c r="T29" s="1357">
        <f t="shared" si="2"/>
        <v>0</v>
      </c>
      <c r="U29" s="1357">
        <f t="shared" si="2"/>
        <v>0</v>
      </c>
      <c r="V29" s="1357">
        <f t="shared" si="2"/>
        <v>0</v>
      </c>
      <c r="W29" s="1357">
        <f t="shared" si="2"/>
        <v>0</v>
      </c>
      <c r="X29" s="1357">
        <f t="shared" si="2"/>
        <v>0</v>
      </c>
      <c r="Y29" s="1357">
        <f t="shared" si="2"/>
        <v>0</v>
      </c>
      <c r="Z29" s="1357">
        <f t="shared" si="2"/>
        <v>0</v>
      </c>
      <c r="AA29" s="1360">
        <f t="shared" si="2"/>
        <v>0</v>
      </c>
    </row>
    <row r="30" spans="2:27" x14ac:dyDescent="0.25">
      <c r="B30" s="540" t="s">
        <v>189</v>
      </c>
      <c r="C30" s="541"/>
      <c r="D30" s="541"/>
      <c r="E30" s="209"/>
      <c r="F30" s="209" t="s">
        <v>22</v>
      </c>
      <c r="G30" s="1193"/>
      <c r="H30" s="1357">
        <f>H248</f>
        <v>0</v>
      </c>
      <c r="I30" s="1357">
        <f>I248</f>
        <v>0</v>
      </c>
      <c r="J30" s="1357">
        <f t="shared" ref="J30:AA30" si="3">J248</f>
        <v>0</v>
      </c>
      <c r="K30" s="1357">
        <f t="shared" si="3"/>
        <v>0</v>
      </c>
      <c r="L30" s="1357">
        <f t="shared" si="3"/>
        <v>0</v>
      </c>
      <c r="M30" s="1357">
        <f t="shared" si="3"/>
        <v>0</v>
      </c>
      <c r="N30" s="1357">
        <f t="shared" si="3"/>
        <v>0</v>
      </c>
      <c r="O30" s="1357">
        <f t="shared" si="3"/>
        <v>0</v>
      </c>
      <c r="P30" s="1357">
        <f t="shared" si="3"/>
        <v>0</v>
      </c>
      <c r="Q30" s="1357">
        <f t="shared" si="3"/>
        <v>0</v>
      </c>
      <c r="R30" s="1357">
        <f t="shared" si="3"/>
        <v>0</v>
      </c>
      <c r="S30" s="1357">
        <f t="shared" si="3"/>
        <v>0</v>
      </c>
      <c r="T30" s="1357">
        <f t="shared" si="3"/>
        <v>0</v>
      </c>
      <c r="U30" s="1357">
        <f t="shared" si="3"/>
        <v>0</v>
      </c>
      <c r="V30" s="1357">
        <f t="shared" si="3"/>
        <v>0</v>
      </c>
      <c r="W30" s="1357">
        <f t="shared" si="3"/>
        <v>0</v>
      </c>
      <c r="X30" s="1357">
        <f t="shared" si="3"/>
        <v>0</v>
      </c>
      <c r="Y30" s="1357">
        <f t="shared" si="3"/>
        <v>0</v>
      </c>
      <c r="Z30" s="1357">
        <f t="shared" si="3"/>
        <v>0</v>
      </c>
      <c r="AA30" s="1360">
        <f t="shared" si="3"/>
        <v>0</v>
      </c>
    </row>
    <row r="31" spans="2:27" x14ac:dyDescent="0.25">
      <c r="B31" s="540" t="s">
        <v>132</v>
      </c>
      <c r="C31" s="541"/>
      <c r="D31" s="541"/>
      <c r="E31" s="209"/>
      <c r="F31" s="209" t="s">
        <v>22</v>
      </c>
      <c r="G31" s="1193"/>
      <c r="H31" s="1357">
        <f>(H217+H238+H259)</f>
        <v>0</v>
      </c>
      <c r="I31" s="1357">
        <f>(I217+I238+I259)</f>
        <v>0</v>
      </c>
      <c r="J31" s="1357">
        <f t="shared" ref="J31:AA31" si="4">(J217+J238+J259)</f>
        <v>0</v>
      </c>
      <c r="K31" s="1357">
        <f t="shared" si="4"/>
        <v>0</v>
      </c>
      <c r="L31" s="1357">
        <f t="shared" si="4"/>
        <v>0</v>
      </c>
      <c r="M31" s="1357">
        <f t="shared" si="4"/>
        <v>0</v>
      </c>
      <c r="N31" s="1357">
        <f t="shared" si="4"/>
        <v>0</v>
      </c>
      <c r="O31" s="1357">
        <f t="shared" si="4"/>
        <v>0</v>
      </c>
      <c r="P31" s="1357">
        <f t="shared" si="4"/>
        <v>0</v>
      </c>
      <c r="Q31" s="1357">
        <f t="shared" si="4"/>
        <v>0</v>
      </c>
      <c r="R31" s="1357">
        <f t="shared" si="4"/>
        <v>0</v>
      </c>
      <c r="S31" s="1357">
        <f t="shared" si="4"/>
        <v>0</v>
      </c>
      <c r="T31" s="1357">
        <f t="shared" si="4"/>
        <v>0</v>
      </c>
      <c r="U31" s="1357">
        <f t="shared" si="4"/>
        <v>0</v>
      </c>
      <c r="V31" s="1357">
        <f t="shared" si="4"/>
        <v>0</v>
      </c>
      <c r="W31" s="1357">
        <f t="shared" si="4"/>
        <v>0</v>
      </c>
      <c r="X31" s="1357">
        <f t="shared" si="4"/>
        <v>0</v>
      </c>
      <c r="Y31" s="1357">
        <f t="shared" si="4"/>
        <v>0</v>
      </c>
      <c r="Z31" s="1357">
        <f t="shared" si="4"/>
        <v>0</v>
      </c>
      <c r="AA31" s="1360">
        <f t="shared" si="4"/>
        <v>0</v>
      </c>
    </row>
    <row r="32" spans="2:27" x14ac:dyDescent="0.25">
      <c r="B32" s="540" t="s">
        <v>190</v>
      </c>
      <c r="C32" s="541"/>
      <c r="D32" s="541"/>
      <c r="E32" s="209"/>
      <c r="F32" s="209" t="s">
        <v>22</v>
      </c>
      <c r="G32" s="1193"/>
      <c r="H32" s="1357">
        <f>H239+H240</f>
        <v>0</v>
      </c>
      <c r="I32" s="1357">
        <f>+I240</f>
        <v>0</v>
      </c>
      <c r="J32" s="1357">
        <f t="shared" ref="J32:AA32" si="5">+J240</f>
        <v>0</v>
      </c>
      <c r="K32" s="1357">
        <f t="shared" si="5"/>
        <v>0</v>
      </c>
      <c r="L32" s="1357">
        <f t="shared" si="5"/>
        <v>0</v>
      </c>
      <c r="M32" s="1357">
        <f t="shared" si="5"/>
        <v>0</v>
      </c>
      <c r="N32" s="1357">
        <f t="shared" si="5"/>
        <v>0</v>
      </c>
      <c r="O32" s="1357">
        <f t="shared" si="5"/>
        <v>0</v>
      </c>
      <c r="P32" s="1357">
        <f t="shared" si="5"/>
        <v>0</v>
      </c>
      <c r="Q32" s="1357">
        <f t="shared" si="5"/>
        <v>0</v>
      </c>
      <c r="R32" s="1357">
        <f t="shared" si="5"/>
        <v>0</v>
      </c>
      <c r="S32" s="1357">
        <f t="shared" si="5"/>
        <v>0</v>
      </c>
      <c r="T32" s="1357">
        <f t="shared" si="5"/>
        <v>0</v>
      </c>
      <c r="U32" s="1357">
        <f t="shared" si="5"/>
        <v>0</v>
      </c>
      <c r="V32" s="1357">
        <f t="shared" si="5"/>
        <v>0</v>
      </c>
      <c r="W32" s="1357">
        <f t="shared" si="5"/>
        <v>0</v>
      </c>
      <c r="X32" s="1357">
        <f t="shared" si="5"/>
        <v>0</v>
      </c>
      <c r="Y32" s="1357">
        <f t="shared" si="5"/>
        <v>0</v>
      </c>
      <c r="Z32" s="1357">
        <f t="shared" si="5"/>
        <v>0</v>
      </c>
      <c r="AA32" s="1360">
        <f t="shared" si="5"/>
        <v>0</v>
      </c>
    </row>
    <row r="33" spans="2:27" x14ac:dyDescent="0.25">
      <c r="B33" s="540" t="s">
        <v>134</v>
      </c>
      <c r="C33" s="541"/>
      <c r="D33" s="541"/>
      <c r="E33" s="209"/>
      <c r="F33" s="209" t="s">
        <v>22</v>
      </c>
      <c r="G33" s="1193"/>
      <c r="H33" s="1357">
        <f>(H269+H270)</f>
        <v>0</v>
      </c>
      <c r="I33" s="1357">
        <f>(+I270)</f>
        <v>0</v>
      </c>
      <c r="J33" s="1357">
        <f t="shared" ref="J33:AA33" si="6">(+J270)</f>
        <v>0</v>
      </c>
      <c r="K33" s="1357">
        <f t="shared" si="6"/>
        <v>0</v>
      </c>
      <c r="L33" s="1357">
        <f t="shared" si="6"/>
        <v>0</v>
      </c>
      <c r="M33" s="1357">
        <f t="shared" si="6"/>
        <v>0</v>
      </c>
      <c r="N33" s="1357">
        <f t="shared" si="6"/>
        <v>0</v>
      </c>
      <c r="O33" s="1357">
        <f t="shared" si="6"/>
        <v>0</v>
      </c>
      <c r="P33" s="1357">
        <f t="shared" si="6"/>
        <v>0</v>
      </c>
      <c r="Q33" s="1357">
        <f t="shared" si="6"/>
        <v>0</v>
      </c>
      <c r="R33" s="1357">
        <f t="shared" si="6"/>
        <v>0</v>
      </c>
      <c r="S33" s="1357">
        <f t="shared" si="6"/>
        <v>0</v>
      </c>
      <c r="T33" s="1357">
        <f t="shared" si="6"/>
        <v>0</v>
      </c>
      <c r="U33" s="1357">
        <f t="shared" si="6"/>
        <v>0</v>
      </c>
      <c r="V33" s="1357">
        <f t="shared" si="6"/>
        <v>0</v>
      </c>
      <c r="W33" s="1357">
        <f t="shared" si="6"/>
        <v>0</v>
      </c>
      <c r="X33" s="1357">
        <f t="shared" si="6"/>
        <v>0</v>
      </c>
      <c r="Y33" s="1357">
        <f t="shared" si="6"/>
        <v>0</v>
      </c>
      <c r="Z33" s="1357">
        <f t="shared" si="6"/>
        <v>0</v>
      </c>
      <c r="AA33" s="1360">
        <f t="shared" si="6"/>
        <v>0</v>
      </c>
    </row>
    <row r="34" spans="2:27" x14ac:dyDescent="0.25">
      <c r="B34" s="540"/>
      <c r="C34" s="541"/>
      <c r="D34" s="541"/>
      <c r="E34" s="209"/>
      <c r="F34" s="209"/>
      <c r="G34" s="1193"/>
      <c r="H34" s="1357"/>
      <c r="I34" s="1357"/>
      <c r="J34" s="1357"/>
      <c r="K34" s="1357"/>
      <c r="L34" s="1357"/>
      <c r="M34" s="1357"/>
      <c r="N34" s="1357"/>
      <c r="O34" s="1357"/>
      <c r="P34" s="1357"/>
      <c r="Q34" s="1357"/>
      <c r="R34" s="1357"/>
      <c r="S34" s="1357"/>
      <c r="T34" s="1357"/>
      <c r="U34" s="1357"/>
      <c r="V34" s="1357"/>
      <c r="W34" s="1357"/>
      <c r="X34" s="1357"/>
      <c r="Y34" s="1357"/>
      <c r="Z34" s="1357"/>
      <c r="AA34" s="1360"/>
    </row>
    <row r="35" spans="2:27" x14ac:dyDescent="0.25">
      <c r="B35" s="540"/>
      <c r="C35" s="541"/>
      <c r="D35" s="541"/>
      <c r="E35" s="209"/>
      <c r="F35" s="209"/>
      <c r="G35" s="1193"/>
      <c r="H35" s="1357"/>
      <c r="I35" s="1357"/>
      <c r="J35" s="1357"/>
      <c r="K35" s="1357"/>
      <c r="L35" s="1357"/>
      <c r="M35" s="1357"/>
      <c r="N35" s="1357"/>
      <c r="O35" s="1357"/>
      <c r="P35" s="1357"/>
      <c r="Q35" s="1357"/>
      <c r="R35" s="1357"/>
      <c r="S35" s="1357"/>
      <c r="T35" s="1357"/>
      <c r="U35" s="1357"/>
      <c r="V35" s="1357"/>
      <c r="W35" s="1357"/>
      <c r="X35" s="1357"/>
      <c r="Y35" s="1357"/>
      <c r="Z35" s="1357"/>
      <c r="AA35" s="1360"/>
    </row>
    <row r="36" spans="2:27" x14ac:dyDescent="0.25">
      <c r="B36" s="553" t="s">
        <v>493</v>
      </c>
      <c r="C36" s="541"/>
      <c r="D36" s="541"/>
      <c r="E36" s="209"/>
      <c r="F36" s="209"/>
      <c r="G36" s="1193"/>
      <c r="H36" s="1357"/>
      <c r="I36" s="1357"/>
      <c r="J36" s="1357"/>
      <c r="K36" s="1357"/>
      <c r="L36" s="1357"/>
      <c r="M36" s="1357"/>
      <c r="N36" s="1357"/>
      <c r="O36" s="1357"/>
      <c r="P36" s="1357"/>
      <c r="Q36" s="1357"/>
      <c r="R36" s="1357"/>
      <c r="S36" s="1357"/>
      <c r="T36" s="1357"/>
      <c r="U36" s="1357"/>
      <c r="V36" s="1357"/>
      <c r="W36" s="1357"/>
      <c r="X36" s="1357"/>
      <c r="Y36" s="1357"/>
      <c r="Z36" s="1357"/>
      <c r="AA36" s="1360"/>
    </row>
    <row r="37" spans="2:27" x14ac:dyDescent="0.25">
      <c r="B37" s="540"/>
      <c r="C37" s="541"/>
      <c r="D37" s="541"/>
      <c r="E37" s="209"/>
      <c r="F37" s="209"/>
      <c r="G37" s="1193"/>
      <c r="H37" s="1357"/>
      <c r="I37" s="1357"/>
      <c r="J37" s="1357"/>
      <c r="K37" s="1357"/>
      <c r="L37" s="1357"/>
      <c r="M37" s="1357"/>
      <c r="N37" s="1357"/>
      <c r="O37" s="1357"/>
      <c r="P37" s="1357"/>
      <c r="Q37" s="1357"/>
      <c r="R37" s="1357"/>
      <c r="S37" s="1357"/>
      <c r="T37" s="1357"/>
      <c r="U37" s="1357"/>
      <c r="V37" s="1357"/>
      <c r="W37" s="1357"/>
      <c r="X37" s="1357"/>
      <c r="Y37" s="1357"/>
      <c r="Z37" s="1357"/>
      <c r="AA37" s="1360"/>
    </row>
    <row r="38" spans="2:27" x14ac:dyDescent="0.25">
      <c r="B38" s="540" t="str">
        <f>B24</f>
        <v>Operations &amp; Maintenance Expenses</v>
      </c>
      <c r="C38" s="541"/>
      <c r="D38" s="541"/>
      <c r="E38" s="209"/>
      <c r="F38" s="209" t="s">
        <v>22</v>
      </c>
      <c r="G38" s="1193"/>
      <c r="H38" s="1357">
        <f>-H24</f>
        <v>0</v>
      </c>
      <c r="I38" s="1357">
        <f t="shared" ref="I38:AA38" si="7">-I24</f>
        <v>0</v>
      </c>
      <c r="J38" s="1357">
        <f t="shared" si="7"/>
        <v>0</v>
      </c>
      <c r="K38" s="1357">
        <f t="shared" si="7"/>
        <v>0</v>
      </c>
      <c r="L38" s="1357">
        <f t="shared" si="7"/>
        <v>0</v>
      </c>
      <c r="M38" s="1357">
        <f t="shared" si="7"/>
        <v>0</v>
      </c>
      <c r="N38" s="1357">
        <f t="shared" si="7"/>
        <v>0</v>
      </c>
      <c r="O38" s="1357">
        <f t="shared" si="7"/>
        <v>0</v>
      </c>
      <c r="P38" s="1357">
        <f t="shared" si="7"/>
        <v>0</v>
      </c>
      <c r="Q38" s="1357">
        <f t="shared" si="7"/>
        <v>0</v>
      </c>
      <c r="R38" s="1357">
        <f t="shared" si="7"/>
        <v>0</v>
      </c>
      <c r="S38" s="1357">
        <f t="shared" si="7"/>
        <v>0</v>
      </c>
      <c r="T38" s="1357">
        <f t="shared" si="7"/>
        <v>0</v>
      </c>
      <c r="U38" s="1357">
        <f t="shared" si="7"/>
        <v>0</v>
      </c>
      <c r="V38" s="1357">
        <f t="shared" si="7"/>
        <v>0</v>
      </c>
      <c r="W38" s="1357">
        <f t="shared" si="7"/>
        <v>0</v>
      </c>
      <c r="X38" s="1357">
        <f t="shared" si="7"/>
        <v>0</v>
      </c>
      <c r="Y38" s="1357">
        <f t="shared" si="7"/>
        <v>0</v>
      </c>
      <c r="Z38" s="1357">
        <f t="shared" si="7"/>
        <v>0</v>
      </c>
      <c r="AA38" s="1360">
        <f t="shared" si="7"/>
        <v>0</v>
      </c>
    </row>
    <row r="39" spans="2:27" x14ac:dyDescent="0.25">
      <c r="B39" s="540" t="str">
        <f>B31</f>
        <v xml:space="preserve">Front-end Fees </v>
      </c>
      <c r="C39" s="541"/>
      <c r="D39" s="541"/>
      <c r="E39" s="209"/>
      <c r="F39" s="209" t="s">
        <v>22</v>
      </c>
      <c r="G39" s="1193"/>
      <c r="H39" s="1357">
        <f>-H31</f>
        <v>0</v>
      </c>
      <c r="I39" s="1357">
        <f t="shared" ref="I39:AA41" si="8">-I31</f>
        <v>0</v>
      </c>
      <c r="J39" s="1357">
        <f t="shared" si="8"/>
        <v>0</v>
      </c>
      <c r="K39" s="1357">
        <f t="shared" si="8"/>
        <v>0</v>
      </c>
      <c r="L39" s="1357">
        <f t="shared" si="8"/>
        <v>0</v>
      </c>
      <c r="M39" s="1357">
        <f t="shared" si="8"/>
        <v>0</v>
      </c>
      <c r="N39" s="1357">
        <f t="shared" si="8"/>
        <v>0</v>
      </c>
      <c r="O39" s="1357">
        <f t="shared" si="8"/>
        <v>0</v>
      </c>
      <c r="P39" s="1357">
        <f t="shared" si="8"/>
        <v>0</v>
      </c>
      <c r="Q39" s="1357">
        <f t="shared" si="8"/>
        <v>0</v>
      </c>
      <c r="R39" s="1357">
        <f t="shared" si="8"/>
        <v>0</v>
      </c>
      <c r="S39" s="1357">
        <f t="shared" si="8"/>
        <v>0</v>
      </c>
      <c r="T39" s="1357">
        <f t="shared" si="8"/>
        <v>0</v>
      </c>
      <c r="U39" s="1357">
        <f t="shared" si="8"/>
        <v>0</v>
      </c>
      <c r="V39" s="1357">
        <f t="shared" si="8"/>
        <v>0</v>
      </c>
      <c r="W39" s="1357">
        <f t="shared" si="8"/>
        <v>0</v>
      </c>
      <c r="X39" s="1357">
        <f t="shared" si="8"/>
        <v>0</v>
      </c>
      <c r="Y39" s="1357">
        <f t="shared" si="8"/>
        <v>0</v>
      </c>
      <c r="Z39" s="1357">
        <f t="shared" si="8"/>
        <v>0</v>
      </c>
      <c r="AA39" s="1360">
        <f t="shared" si="8"/>
        <v>0</v>
      </c>
    </row>
    <row r="40" spans="2:27" x14ac:dyDescent="0.25">
      <c r="B40" s="540" t="str">
        <f>B32</f>
        <v xml:space="preserve">Public Guarantee Fees </v>
      </c>
      <c r="C40" s="541"/>
      <c r="D40" s="541"/>
      <c r="E40" s="209"/>
      <c r="F40" s="209" t="s">
        <v>22</v>
      </c>
      <c r="G40" s="1193"/>
      <c r="H40" s="1357">
        <f>-H32</f>
        <v>0</v>
      </c>
      <c r="I40" s="1357">
        <f t="shared" si="8"/>
        <v>0</v>
      </c>
      <c r="J40" s="1357">
        <f t="shared" si="8"/>
        <v>0</v>
      </c>
      <c r="K40" s="1357">
        <f t="shared" si="8"/>
        <v>0</v>
      </c>
      <c r="L40" s="1357">
        <f t="shared" si="8"/>
        <v>0</v>
      </c>
      <c r="M40" s="1357">
        <f t="shared" si="8"/>
        <v>0</v>
      </c>
      <c r="N40" s="1357">
        <f t="shared" si="8"/>
        <v>0</v>
      </c>
      <c r="O40" s="1357">
        <f t="shared" si="8"/>
        <v>0</v>
      </c>
      <c r="P40" s="1357">
        <f t="shared" si="8"/>
        <v>0</v>
      </c>
      <c r="Q40" s="1357">
        <f t="shared" si="8"/>
        <v>0</v>
      </c>
      <c r="R40" s="1357">
        <f t="shared" si="8"/>
        <v>0</v>
      </c>
      <c r="S40" s="1357">
        <f t="shared" si="8"/>
        <v>0</v>
      </c>
      <c r="T40" s="1357">
        <f t="shared" si="8"/>
        <v>0</v>
      </c>
      <c r="U40" s="1357">
        <f t="shared" si="8"/>
        <v>0</v>
      </c>
      <c r="V40" s="1357">
        <f t="shared" si="8"/>
        <v>0</v>
      </c>
      <c r="W40" s="1357">
        <f t="shared" si="8"/>
        <v>0</v>
      </c>
      <c r="X40" s="1357">
        <f t="shared" si="8"/>
        <v>0</v>
      </c>
      <c r="Y40" s="1357">
        <f t="shared" si="8"/>
        <v>0</v>
      </c>
      <c r="Z40" s="1357">
        <f t="shared" si="8"/>
        <v>0</v>
      </c>
      <c r="AA40" s="1360">
        <f t="shared" si="8"/>
        <v>0</v>
      </c>
    </row>
    <row r="41" spans="2:27" x14ac:dyDescent="0.25">
      <c r="B41" s="540" t="str">
        <f>B33</f>
        <v>Political Risk Insurance - Fees &amp; Annual Premium Payments</v>
      </c>
      <c r="C41" s="541"/>
      <c r="D41" s="541"/>
      <c r="E41" s="209"/>
      <c r="F41" s="209" t="s">
        <v>22</v>
      </c>
      <c r="G41" s="1193"/>
      <c r="H41" s="1357">
        <f>-H33</f>
        <v>0</v>
      </c>
      <c r="I41" s="1357">
        <f t="shared" si="8"/>
        <v>0</v>
      </c>
      <c r="J41" s="1357">
        <f t="shared" si="8"/>
        <v>0</v>
      </c>
      <c r="K41" s="1357">
        <f t="shared" si="8"/>
        <v>0</v>
      </c>
      <c r="L41" s="1357">
        <f t="shared" si="8"/>
        <v>0</v>
      </c>
      <c r="M41" s="1357">
        <f t="shared" si="8"/>
        <v>0</v>
      </c>
      <c r="N41" s="1357">
        <f t="shared" si="8"/>
        <v>0</v>
      </c>
      <c r="O41" s="1357">
        <f t="shared" si="8"/>
        <v>0</v>
      </c>
      <c r="P41" s="1357">
        <f t="shared" si="8"/>
        <v>0</v>
      </c>
      <c r="Q41" s="1357">
        <f t="shared" si="8"/>
        <v>0</v>
      </c>
      <c r="R41" s="1357">
        <f t="shared" si="8"/>
        <v>0</v>
      </c>
      <c r="S41" s="1357">
        <f t="shared" si="8"/>
        <v>0</v>
      </c>
      <c r="T41" s="1357">
        <f t="shared" si="8"/>
        <v>0</v>
      </c>
      <c r="U41" s="1357">
        <f t="shared" si="8"/>
        <v>0</v>
      </c>
      <c r="V41" s="1357">
        <f t="shared" si="8"/>
        <v>0</v>
      </c>
      <c r="W41" s="1357">
        <f t="shared" si="8"/>
        <v>0</v>
      </c>
      <c r="X41" s="1357">
        <f t="shared" si="8"/>
        <v>0</v>
      </c>
      <c r="Y41" s="1357">
        <f t="shared" si="8"/>
        <v>0</v>
      </c>
      <c r="Z41" s="1357">
        <f t="shared" si="8"/>
        <v>0</v>
      </c>
      <c r="AA41" s="1360">
        <f t="shared" si="8"/>
        <v>0</v>
      </c>
    </row>
    <row r="42" spans="2:27" x14ac:dyDescent="0.25">
      <c r="B42" s="540" t="s">
        <v>102</v>
      </c>
      <c r="C42" s="541"/>
      <c r="D42" s="541"/>
      <c r="E42" s="209"/>
      <c r="F42" s="209" t="s">
        <v>22</v>
      </c>
      <c r="G42" s="1193"/>
      <c r="H42" s="1357">
        <f>-(H208+H229+H250)</f>
        <v>0</v>
      </c>
      <c r="I42" s="1357">
        <f t="shared" ref="I42:AA42" si="9">-(I208+I229+I250)</f>
        <v>0</v>
      </c>
      <c r="J42" s="1357">
        <f t="shared" si="9"/>
        <v>0</v>
      </c>
      <c r="K42" s="1357">
        <f t="shared" si="9"/>
        <v>0</v>
      </c>
      <c r="L42" s="1357">
        <f t="shared" si="9"/>
        <v>0</v>
      </c>
      <c r="M42" s="1357">
        <f t="shared" si="9"/>
        <v>0</v>
      </c>
      <c r="N42" s="1357">
        <f t="shared" si="9"/>
        <v>0</v>
      </c>
      <c r="O42" s="1357">
        <f t="shared" si="9"/>
        <v>0</v>
      </c>
      <c r="P42" s="1357">
        <f t="shared" si="9"/>
        <v>0</v>
      </c>
      <c r="Q42" s="1357">
        <f t="shared" si="9"/>
        <v>0</v>
      </c>
      <c r="R42" s="1357">
        <f t="shared" si="9"/>
        <v>0</v>
      </c>
      <c r="S42" s="1357">
        <f t="shared" si="9"/>
        <v>0</v>
      </c>
      <c r="T42" s="1357">
        <f t="shared" si="9"/>
        <v>0</v>
      </c>
      <c r="U42" s="1357">
        <f t="shared" si="9"/>
        <v>0</v>
      </c>
      <c r="V42" s="1357">
        <f t="shared" si="9"/>
        <v>0</v>
      </c>
      <c r="W42" s="1357">
        <f t="shared" si="9"/>
        <v>0</v>
      </c>
      <c r="X42" s="1357">
        <f t="shared" si="9"/>
        <v>0</v>
      </c>
      <c r="Y42" s="1357">
        <f t="shared" si="9"/>
        <v>0</v>
      </c>
      <c r="Z42" s="1357">
        <f t="shared" si="9"/>
        <v>0</v>
      </c>
      <c r="AA42" s="1360">
        <f t="shared" si="9"/>
        <v>0</v>
      </c>
    </row>
    <row r="43" spans="2:27" x14ac:dyDescent="0.25">
      <c r="B43" s="554" t="s">
        <v>103</v>
      </c>
      <c r="C43" s="551"/>
      <c r="D43" s="551"/>
      <c r="E43" s="184"/>
      <c r="F43" s="184" t="s">
        <v>22</v>
      </c>
      <c r="G43" s="1195"/>
      <c r="H43" s="1361" t="e">
        <f>(H24+H26+H31+H32+H33+H28+H29+H30)*'III. Inputs, Renewable Energy'!$U$18</f>
        <v>#VALUE!</v>
      </c>
      <c r="I43" s="1361" t="e">
        <f>(I24+I26+I31+I32+I33+I28+I29+I30)*'III. Inputs, Renewable Energy'!$U$18</f>
        <v>#VALUE!</v>
      </c>
      <c r="J43" s="1361" t="e">
        <f>(J24+J26+J31+J32+J33+J28+J29+J30)*'III. Inputs, Renewable Energy'!$U$18</f>
        <v>#VALUE!</v>
      </c>
      <c r="K43" s="1361" t="e">
        <f>(K24+K26+K31+K32+K33+K28+K29+K30)*'III. Inputs, Renewable Energy'!$U$18</f>
        <v>#VALUE!</v>
      </c>
      <c r="L43" s="1361" t="e">
        <f>(L24+L26+L31+L32+L33+L28+L29+L30)*'III. Inputs, Renewable Energy'!$U$18</f>
        <v>#VALUE!</v>
      </c>
      <c r="M43" s="1361" t="e">
        <f>(M24+M26+M31+M32+M33+M28+M29+M30)*'III. Inputs, Renewable Energy'!$U$18</f>
        <v>#VALUE!</v>
      </c>
      <c r="N43" s="1361" t="e">
        <f>(N24+N26+N31+N32+N33+N28+N29+N30)*'III. Inputs, Renewable Energy'!$U$18</f>
        <v>#VALUE!</v>
      </c>
      <c r="O43" s="1361" t="e">
        <f>(O24+O26+O31+O32+O33+O28+O29+O30)*'III. Inputs, Renewable Energy'!$U$18</f>
        <v>#VALUE!</v>
      </c>
      <c r="P43" s="1361" t="e">
        <f>(P24+P26+P31+P32+P33+P28+P29+P30)*'III. Inputs, Renewable Energy'!$U$18</f>
        <v>#VALUE!</v>
      </c>
      <c r="Q43" s="1361" t="e">
        <f>(Q24+Q26+Q31+Q32+Q33+Q28+Q29+Q30)*'III. Inputs, Renewable Energy'!$U$18</f>
        <v>#VALUE!</v>
      </c>
      <c r="R43" s="1361" t="e">
        <f>(R24+R26+R31+R32+R33+R28+R29+R30)*'III. Inputs, Renewable Energy'!$U$18</f>
        <v>#VALUE!</v>
      </c>
      <c r="S43" s="1361" t="e">
        <f>(S24+S26+S31+S32+S33+S28+S29+S30)*'III. Inputs, Renewable Energy'!$U$18</f>
        <v>#VALUE!</v>
      </c>
      <c r="T43" s="1361" t="e">
        <f>(T24+T26+T31+T32+T33+T28+T29+T30)*'III. Inputs, Renewable Energy'!$U$18</f>
        <v>#VALUE!</v>
      </c>
      <c r="U43" s="1361" t="e">
        <f>(U24+U26+U31+U32+U33+U28+U29+U30)*'III. Inputs, Renewable Energy'!$U$18</f>
        <v>#VALUE!</v>
      </c>
      <c r="V43" s="1361" t="e">
        <f>(V24+V26+V31+V32+V33+V28+V29+V30)*'III. Inputs, Renewable Energy'!$U$18</f>
        <v>#VALUE!</v>
      </c>
      <c r="W43" s="1361" t="e">
        <f>(W24+W26+W31+W32+W33+W28+W29+W30)*'III. Inputs, Renewable Energy'!$U$18</f>
        <v>#VALUE!</v>
      </c>
      <c r="X43" s="1361" t="e">
        <f>(X24+X26+X31+X32+X33+X28+X29+X30)*'III. Inputs, Renewable Energy'!$U$18</f>
        <v>#VALUE!</v>
      </c>
      <c r="Y43" s="1361" t="e">
        <f>(Y24+Y26+Y31+Y32+Y33+Y28+Y29+Y30)*'III. Inputs, Renewable Energy'!$U$18</f>
        <v>#VALUE!</v>
      </c>
      <c r="Z43" s="1361" t="e">
        <f>(Z24+Z26+Z31+Z32+Z33+Z28+Z29+Z30)*'III. Inputs, Renewable Energy'!$U$18</f>
        <v>#VALUE!</v>
      </c>
      <c r="AA43" s="1362" t="e">
        <f>(AA24+AA26+AA31+AA32+AA33+AA28+AA29+AA30)*'III. Inputs, Renewable Energy'!$U$18</f>
        <v>#VALUE!</v>
      </c>
    </row>
    <row r="44" spans="2:27" x14ac:dyDescent="0.25">
      <c r="B44" s="540" t="s">
        <v>104</v>
      </c>
      <c r="C44" s="541"/>
      <c r="D44" s="541"/>
      <c r="E44" s="209"/>
      <c r="F44" s="209" t="s">
        <v>22</v>
      </c>
      <c r="G44" s="1357">
        <f>IF('III. Inputs, Renewable Energy'!U243=0,0,-('III. Inputs, Renewable Energy'!U242+('III. Inputs, Renewable Energy'!U238*'III. Inputs, Renewable Energy'!U240*'III. Inputs, Renewable Energy'!U241))*('III. Inputs, Renewable Energy'!U14/'III. Inputs, Renewable Energy'!U243)*'III. Inputs, Renewable Energy'!$S$28)</f>
        <v>0</v>
      </c>
      <c r="H44" s="1357" t="e">
        <f>SUM(H38:H43)</f>
        <v>#VALUE!</v>
      </c>
      <c r="I44" s="1357" t="e">
        <f>SUM(I38:I43)</f>
        <v>#VALUE!</v>
      </c>
      <c r="J44" s="1357" t="e">
        <f t="shared" ref="J44:AA44" si="10">SUM(J38:J43)</f>
        <v>#VALUE!</v>
      </c>
      <c r="K44" s="1357" t="e">
        <f t="shared" si="10"/>
        <v>#VALUE!</v>
      </c>
      <c r="L44" s="1357" t="e">
        <f t="shared" si="10"/>
        <v>#VALUE!</v>
      </c>
      <c r="M44" s="1357" t="e">
        <f t="shared" si="10"/>
        <v>#VALUE!</v>
      </c>
      <c r="N44" s="1357" t="e">
        <f t="shared" si="10"/>
        <v>#VALUE!</v>
      </c>
      <c r="O44" s="1357" t="e">
        <f t="shared" si="10"/>
        <v>#VALUE!</v>
      </c>
      <c r="P44" s="1357" t="e">
        <f t="shared" si="10"/>
        <v>#VALUE!</v>
      </c>
      <c r="Q44" s="1357" t="e">
        <f t="shared" si="10"/>
        <v>#VALUE!</v>
      </c>
      <c r="R44" s="1357" t="e">
        <f t="shared" si="10"/>
        <v>#VALUE!</v>
      </c>
      <c r="S44" s="1357" t="e">
        <f t="shared" si="10"/>
        <v>#VALUE!</v>
      </c>
      <c r="T44" s="1357" t="e">
        <f t="shared" si="10"/>
        <v>#VALUE!</v>
      </c>
      <c r="U44" s="1357" t="e">
        <f t="shared" si="10"/>
        <v>#VALUE!</v>
      </c>
      <c r="V44" s="1357" t="e">
        <f t="shared" si="10"/>
        <v>#VALUE!</v>
      </c>
      <c r="W44" s="1357" t="e">
        <f t="shared" si="10"/>
        <v>#VALUE!</v>
      </c>
      <c r="X44" s="1357" t="e">
        <f t="shared" si="10"/>
        <v>#VALUE!</v>
      </c>
      <c r="Y44" s="1357" t="e">
        <f t="shared" si="10"/>
        <v>#VALUE!</v>
      </c>
      <c r="Z44" s="1357" t="e">
        <f t="shared" si="10"/>
        <v>#VALUE!</v>
      </c>
      <c r="AA44" s="1360" t="e">
        <f t="shared" si="10"/>
        <v>#VALUE!</v>
      </c>
    </row>
    <row r="45" spans="2:27" x14ac:dyDescent="0.25">
      <c r="B45" s="540"/>
      <c r="C45" s="541"/>
      <c r="D45" s="541"/>
      <c r="E45" s="209"/>
      <c r="F45" s="541"/>
      <c r="G45" s="541"/>
      <c r="H45" s="541"/>
      <c r="I45" s="541"/>
      <c r="J45" s="541"/>
      <c r="K45" s="541"/>
      <c r="L45" s="541"/>
      <c r="M45" s="541"/>
      <c r="N45" s="541"/>
      <c r="O45" s="541"/>
      <c r="P45" s="541"/>
      <c r="Q45" s="541"/>
      <c r="R45" s="541"/>
      <c r="S45" s="541"/>
      <c r="T45" s="541"/>
      <c r="U45" s="541"/>
      <c r="V45" s="541"/>
      <c r="W45" s="541"/>
      <c r="X45" s="541"/>
      <c r="Y45" s="541"/>
      <c r="Z45" s="541"/>
      <c r="AA45" s="542"/>
    </row>
    <row r="46" spans="2:27" x14ac:dyDescent="0.25">
      <c r="B46" s="540" t="s">
        <v>105</v>
      </c>
      <c r="C46" s="541"/>
      <c r="D46" s="541"/>
      <c r="E46" s="209"/>
      <c r="F46" s="541"/>
      <c r="G46" s="1097">
        <f>SUM('III. Inputs, Renewable Energy'!$S$36)</f>
        <v>0</v>
      </c>
      <c r="H46" s="541"/>
      <c r="I46" s="541"/>
      <c r="J46" s="541"/>
      <c r="K46" s="541"/>
      <c r="L46" s="541"/>
      <c r="M46" s="541"/>
      <c r="N46" s="541"/>
      <c r="O46" s="541"/>
      <c r="P46" s="541"/>
      <c r="Q46" s="541"/>
      <c r="R46" s="541"/>
      <c r="S46" s="541"/>
      <c r="T46" s="541"/>
      <c r="U46" s="541"/>
      <c r="V46" s="541"/>
      <c r="W46" s="541"/>
      <c r="X46" s="541"/>
      <c r="Y46" s="541"/>
      <c r="Z46" s="541"/>
      <c r="AA46" s="542"/>
    </row>
    <row r="47" spans="2:27" x14ac:dyDescent="0.25">
      <c r="B47" s="540" t="s">
        <v>106</v>
      </c>
      <c r="C47" s="541"/>
      <c r="D47" s="541"/>
      <c r="E47" s="209"/>
      <c r="F47" s="541"/>
      <c r="G47" s="1357" t="e">
        <f>NPV(G46,H44:AA44)+G44</f>
        <v>#VALUE!</v>
      </c>
      <c r="H47" s="541"/>
      <c r="I47" s="541"/>
      <c r="J47" s="541"/>
      <c r="K47" s="541"/>
      <c r="L47" s="541"/>
      <c r="M47" s="541"/>
      <c r="N47" s="541"/>
      <c r="O47" s="541"/>
      <c r="P47" s="541"/>
      <c r="Q47" s="541"/>
      <c r="R47" s="541"/>
      <c r="S47" s="541"/>
      <c r="T47" s="541"/>
      <c r="U47" s="541"/>
      <c r="V47" s="541"/>
      <c r="W47" s="541"/>
      <c r="X47" s="541"/>
      <c r="Y47" s="541"/>
      <c r="Z47" s="541"/>
      <c r="AA47" s="542"/>
    </row>
    <row r="48" spans="2:27" ht="17.25" customHeight="1" x14ac:dyDescent="0.25">
      <c r="B48" s="540" t="s">
        <v>107</v>
      </c>
      <c r="C48" s="541"/>
      <c r="D48" s="541"/>
      <c r="E48" s="209"/>
      <c r="F48" s="541"/>
      <c r="G48" s="1357">
        <f>-NPV($G$46,H20:AA20)</f>
        <v>0</v>
      </c>
      <c r="H48" s="541"/>
      <c r="I48" s="541"/>
      <c r="J48" s="541"/>
      <c r="K48" s="541"/>
      <c r="L48" s="541"/>
      <c r="M48" s="541"/>
      <c r="N48" s="541"/>
      <c r="O48" s="541"/>
      <c r="P48" s="541"/>
      <c r="Q48" s="541"/>
      <c r="R48" s="541"/>
      <c r="S48" s="541"/>
      <c r="T48" s="541"/>
      <c r="U48" s="541"/>
      <c r="V48" s="541"/>
      <c r="W48" s="541"/>
      <c r="X48" s="541"/>
      <c r="Y48" s="541"/>
      <c r="Z48" s="541"/>
      <c r="AA48" s="542"/>
    </row>
    <row r="49" spans="2:27" ht="17.25" customHeight="1" thickBot="1" x14ac:dyDescent="0.3">
      <c r="B49" s="540" t="s">
        <v>108</v>
      </c>
      <c r="C49" s="541"/>
      <c r="D49" s="541"/>
      <c r="E49" s="209"/>
      <c r="F49" s="209" t="s">
        <v>625</v>
      </c>
      <c r="G49" s="1363" t="e">
        <f>IF(OR(G47=0, G48=0), 0, G47/G48)</f>
        <v>#VALUE!</v>
      </c>
      <c r="H49" s="541"/>
      <c r="I49" s="541"/>
      <c r="J49" s="541"/>
      <c r="K49" s="541"/>
      <c r="L49" s="541"/>
      <c r="M49" s="541"/>
      <c r="N49" s="541"/>
      <c r="O49" s="541"/>
      <c r="P49" s="541"/>
      <c r="Q49" s="541"/>
      <c r="R49" s="541"/>
      <c r="S49" s="541"/>
      <c r="T49" s="541"/>
      <c r="U49" s="541"/>
      <c r="V49" s="541"/>
      <c r="W49" s="541"/>
      <c r="X49" s="541"/>
      <c r="Y49" s="541"/>
      <c r="Z49" s="541"/>
      <c r="AA49" s="542"/>
    </row>
    <row r="50" spans="2:27" ht="17.25" customHeight="1" thickBot="1" x14ac:dyDescent="0.3">
      <c r="B50" s="556" t="s">
        <v>109</v>
      </c>
      <c r="C50" s="557"/>
      <c r="D50" s="557"/>
      <c r="E50" s="558"/>
      <c r="F50" s="558" t="s">
        <v>626</v>
      </c>
      <c r="G50" s="1364" t="e">
        <f>$G$49/(1-'III. Inputs, Renewable Energy'!$U$18)</f>
        <v>#VALUE!</v>
      </c>
      <c r="H50" s="541"/>
      <c r="I50" s="541"/>
      <c r="J50" s="541"/>
      <c r="K50" s="541"/>
      <c r="L50" s="541"/>
      <c r="M50" s="541"/>
      <c r="N50" s="541"/>
      <c r="O50" s="541"/>
      <c r="P50" s="541"/>
      <c r="Q50" s="541"/>
      <c r="R50" s="541"/>
      <c r="S50" s="541"/>
      <c r="T50" s="541"/>
      <c r="U50" s="541"/>
      <c r="V50" s="541"/>
      <c r="W50" s="541"/>
      <c r="X50" s="541"/>
      <c r="Y50" s="541"/>
      <c r="Z50" s="541"/>
      <c r="AA50" s="542"/>
    </row>
    <row r="51" spans="2:27" ht="17.25" customHeight="1" thickBot="1" x14ac:dyDescent="0.3">
      <c r="B51" s="559"/>
      <c r="C51" s="560"/>
      <c r="D51" s="560"/>
      <c r="E51" s="561"/>
      <c r="F51" s="561"/>
      <c r="G51" s="562"/>
      <c r="H51" s="563"/>
      <c r="I51" s="563"/>
      <c r="J51" s="563"/>
      <c r="K51" s="563"/>
      <c r="L51" s="563"/>
      <c r="M51" s="563"/>
      <c r="N51" s="563"/>
      <c r="O51" s="563"/>
      <c r="P51" s="563"/>
      <c r="Q51" s="563"/>
      <c r="R51" s="563"/>
      <c r="S51" s="563"/>
      <c r="T51" s="563"/>
      <c r="U51" s="563"/>
      <c r="V51" s="563"/>
      <c r="W51" s="563"/>
      <c r="X51" s="563"/>
      <c r="Y51" s="563"/>
      <c r="Z51" s="563"/>
      <c r="AA51" s="564"/>
    </row>
    <row r="52" spans="2:27" ht="17.25" customHeight="1" thickBot="1" x14ac:dyDescent="0.3"/>
    <row r="53" spans="2:27" ht="10.5" customHeight="1" outlineLevel="1" x14ac:dyDescent="0.25">
      <c r="B53" s="565"/>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row>
    <row r="54" spans="2:27" ht="17.25" customHeight="1" outlineLevel="1" x14ac:dyDescent="0.25">
      <c r="B54" s="553" t="s">
        <v>110</v>
      </c>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row>
    <row r="55" spans="2:27" ht="6.75" customHeight="1" outlineLevel="1" x14ac:dyDescent="0.25">
      <c r="B55" s="540"/>
      <c r="C55" s="541"/>
      <c r="D55" s="541"/>
      <c r="E55" s="209"/>
      <c r="F55" s="541"/>
      <c r="G55" s="541"/>
      <c r="H55" s="541"/>
      <c r="I55" s="541"/>
      <c r="J55" s="541"/>
      <c r="K55" s="541"/>
      <c r="L55" s="541"/>
      <c r="M55" s="541"/>
      <c r="N55" s="541"/>
      <c r="O55" s="541"/>
      <c r="P55" s="541"/>
      <c r="Q55" s="541"/>
      <c r="R55" s="541"/>
      <c r="S55" s="541"/>
      <c r="T55" s="541"/>
      <c r="U55" s="541"/>
      <c r="V55" s="541"/>
      <c r="W55" s="541"/>
      <c r="X55" s="541"/>
      <c r="Y55" s="541"/>
      <c r="Z55" s="541"/>
      <c r="AA55" s="541"/>
    </row>
    <row r="56" spans="2:27" ht="17.25" customHeight="1" outlineLevel="1" x14ac:dyDescent="0.25">
      <c r="B56" s="543" t="s">
        <v>58</v>
      </c>
      <c r="C56" s="544"/>
      <c r="D56" s="544"/>
      <c r="E56" s="545"/>
      <c r="F56" s="544"/>
      <c r="G56" s="545">
        <f>G16</f>
        <v>0</v>
      </c>
      <c r="H56" s="545">
        <f t="shared" ref="H56:AA56" si="11">H16</f>
        <v>1</v>
      </c>
      <c r="I56" s="545">
        <f t="shared" si="11"/>
        <v>2</v>
      </c>
      <c r="J56" s="545">
        <f t="shared" si="11"/>
        <v>3</v>
      </c>
      <c r="K56" s="545">
        <f t="shared" si="11"/>
        <v>4</v>
      </c>
      <c r="L56" s="545">
        <f t="shared" si="11"/>
        <v>5</v>
      </c>
      <c r="M56" s="545">
        <f t="shared" si="11"/>
        <v>6</v>
      </c>
      <c r="N56" s="545">
        <f t="shared" si="11"/>
        <v>7</v>
      </c>
      <c r="O56" s="545">
        <f t="shared" si="11"/>
        <v>8</v>
      </c>
      <c r="P56" s="545">
        <f t="shared" si="11"/>
        <v>9</v>
      </c>
      <c r="Q56" s="545">
        <f t="shared" si="11"/>
        <v>10</v>
      </c>
      <c r="R56" s="545">
        <f t="shared" si="11"/>
        <v>11</v>
      </c>
      <c r="S56" s="545">
        <f t="shared" si="11"/>
        <v>12</v>
      </c>
      <c r="T56" s="545">
        <f t="shared" si="11"/>
        <v>13</v>
      </c>
      <c r="U56" s="545">
        <f t="shared" si="11"/>
        <v>14</v>
      </c>
      <c r="V56" s="545">
        <f t="shared" si="11"/>
        <v>15</v>
      </c>
      <c r="W56" s="545">
        <f t="shared" si="11"/>
        <v>16</v>
      </c>
      <c r="X56" s="545">
        <f t="shared" si="11"/>
        <v>17</v>
      </c>
      <c r="Y56" s="545">
        <f t="shared" si="11"/>
        <v>18</v>
      </c>
      <c r="Z56" s="545">
        <f t="shared" si="11"/>
        <v>19</v>
      </c>
      <c r="AA56" s="545">
        <f t="shared" si="11"/>
        <v>20</v>
      </c>
    </row>
    <row r="57" spans="2:27" ht="17.25" customHeight="1" outlineLevel="1" x14ac:dyDescent="0.25">
      <c r="B57" s="540"/>
      <c r="C57" s="541"/>
      <c r="D57" s="541"/>
      <c r="E57" s="209"/>
      <c r="F57" s="541"/>
      <c r="G57" s="209"/>
      <c r="H57" s="209"/>
      <c r="I57" s="541"/>
      <c r="J57" s="541"/>
      <c r="K57" s="541"/>
      <c r="L57" s="541"/>
      <c r="M57" s="541"/>
      <c r="N57" s="541"/>
      <c r="O57" s="541"/>
      <c r="P57" s="541"/>
      <c r="Q57" s="541"/>
      <c r="R57" s="541"/>
      <c r="S57" s="541"/>
      <c r="T57" s="541"/>
      <c r="U57" s="541"/>
      <c r="V57" s="541"/>
      <c r="W57" s="541"/>
      <c r="X57" s="541"/>
      <c r="Y57" s="541"/>
      <c r="Z57" s="541"/>
      <c r="AA57" s="541"/>
    </row>
    <row r="58" spans="2:27" ht="17.25" customHeight="1" outlineLevel="1" x14ac:dyDescent="0.25">
      <c r="B58" s="540" t="s">
        <v>97</v>
      </c>
      <c r="C58" s="541"/>
      <c r="D58" s="541"/>
      <c r="E58" s="209"/>
      <c r="F58" s="209" t="s">
        <v>98</v>
      </c>
      <c r="G58" s="209"/>
      <c r="H58" s="566">
        <f>H20</f>
        <v>0</v>
      </c>
      <c r="I58" s="566">
        <f t="shared" ref="I58:AA58" si="12">I20</f>
        <v>0</v>
      </c>
      <c r="J58" s="566">
        <f t="shared" si="12"/>
        <v>0</v>
      </c>
      <c r="K58" s="566">
        <f t="shared" si="12"/>
        <v>0</v>
      </c>
      <c r="L58" s="566">
        <f t="shared" si="12"/>
        <v>0</v>
      </c>
      <c r="M58" s="566">
        <f t="shared" si="12"/>
        <v>0</v>
      </c>
      <c r="N58" s="566">
        <f t="shared" si="12"/>
        <v>0</v>
      </c>
      <c r="O58" s="566">
        <f t="shared" si="12"/>
        <v>0</v>
      </c>
      <c r="P58" s="566">
        <f t="shared" si="12"/>
        <v>0</v>
      </c>
      <c r="Q58" s="566">
        <f t="shared" si="12"/>
        <v>0</v>
      </c>
      <c r="R58" s="566">
        <f t="shared" si="12"/>
        <v>0</v>
      </c>
      <c r="S58" s="566">
        <f t="shared" si="12"/>
        <v>0</v>
      </c>
      <c r="T58" s="566">
        <f t="shared" si="12"/>
        <v>0</v>
      </c>
      <c r="U58" s="566">
        <f t="shared" si="12"/>
        <v>0</v>
      </c>
      <c r="V58" s="566">
        <f t="shared" si="12"/>
        <v>0</v>
      </c>
      <c r="W58" s="566">
        <f t="shared" si="12"/>
        <v>0</v>
      </c>
      <c r="X58" s="566">
        <f t="shared" si="12"/>
        <v>0</v>
      </c>
      <c r="Y58" s="566">
        <f t="shared" si="12"/>
        <v>0</v>
      </c>
      <c r="Z58" s="566">
        <f t="shared" si="12"/>
        <v>0</v>
      </c>
      <c r="AA58" s="566">
        <f t="shared" si="12"/>
        <v>0</v>
      </c>
    </row>
    <row r="59" spans="2:27" ht="17.25" customHeight="1" outlineLevel="1" x14ac:dyDescent="0.25">
      <c r="B59" s="540"/>
      <c r="C59" s="541"/>
      <c r="D59" s="541"/>
      <c r="E59" s="209"/>
      <c r="F59" s="209"/>
      <c r="G59" s="209"/>
      <c r="H59" s="567"/>
      <c r="I59" s="567"/>
      <c r="J59" s="567"/>
      <c r="K59" s="567"/>
      <c r="L59" s="567"/>
      <c r="M59" s="567"/>
      <c r="N59" s="567"/>
      <c r="O59" s="567"/>
      <c r="P59" s="567"/>
      <c r="Q59" s="567"/>
      <c r="R59" s="567"/>
      <c r="S59" s="567"/>
      <c r="T59" s="567"/>
      <c r="U59" s="567"/>
      <c r="V59" s="567"/>
      <c r="W59" s="567"/>
      <c r="X59" s="567"/>
      <c r="Y59" s="567"/>
      <c r="Z59" s="567"/>
      <c r="AA59" s="567"/>
    </row>
    <row r="60" spans="2:27" ht="17.25" customHeight="1" outlineLevel="1" x14ac:dyDescent="0.25">
      <c r="B60" s="540" t="s">
        <v>111</v>
      </c>
      <c r="C60" s="541"/>
      <c r="D60" s="541"/>
      <c r="E60" s="209"/>
      <c r="F60" s="209" t="s">
        <v>626</v>
      </c>
      <c r="G60" s="1200"/>
      <c r="H60" s="1365" t="e">
        <f>$G$50</f>
        <v>#VALUE!</v>
      </c>
      <c r="I60" s="1365" t="e">
        <f t="shared" ref="I60:AA60" si="13">$G$50</f>
        <v>#VALUE!</v>
      </c>
      <c r="J60" s="1365" t="e">
        <f t="shared" si="13"/>
        <v>#VALUE!</v>
      </c>
      <c r="K60" s="1365" t="e">
        <f t="shared" si="13"/>
        <v>#VALUE!</v>
      </c>
      <c r="L60" s="1365" t="e">
        <f t="shared" si="13"/>
        <v>#VALUE!</v>
      </c>
      <c r="M60" s="1365" t="e">
        <f t="shared" si="13"/>
        <v>#VALUE!</v>
      </c>
      <c r="N60" s="1365" t="e">
        <f t="shared" si="13"/>
        <v>#VALUE!</v>
      </c>
      <c r="O60" s="1365" t="e">
        <f t="shared" si="13"/>
        <v>#VALUE!</v>
      </c>
      <c r="P60" s="1365" t="e">
        <f t="shared" si="13"/>
        <v>#VALUE!</v>
      </c>
      <c r="Q60" s="1365" t="e">
        <f t="shared" si="13"/>
        <v>#VALUE!</v>
      </c>
      <c r="R60" s="1365" t="e">
        <f t="shared" si="13"/>
        <v>#VALUE!</v>
      </c>
      <c r="S60" s="1365" t="e">
        <f t="shared" si="13"/>
        <v>#VALUE!</v>
      </c>
      <c r="T60" s="1365" t="e">
        <f t="shared" si="13"/>
        <v>#VALUE!</v>
      </c>
      <c r="U60" s="1365" t="e">
        <f t="shared" si="13"/>
        <v>#VALUE!</v>
      </c>
      <c r="V60" s="1365" t="e">
        <f t="shared" si="13"/>
        <v>#VALUE!</v>
      </c>
      <c r="W60" s="1365" t="e">
        <f t="shared" si="13"/>
        <v>#VALUE!</v>
      </c>
      <c r="X60" s="1365" t="e">
        <f t="shared" si="13"/>
        <v>#VALUE!</v>
      </c>
      <c r="Y60" s="1365" t="e">
        <f t="shared" si="13"/>
        <v>#VALUE!</v>
      </c>
      <c r="Z60" s="1365" t="e">
        <f t="shared" si="13"/>
        <v>#VALUE!</v>
      </c>
      <c r="AA60" s="1365" t="e">
        <f t="shared" si="13"/>
        <v>#VALUE!</v>
      </c>
    </row>
    <row r="61" spans="2:27" ht="17.25" customHeight="1" outlineLevel="1" x14ac:dyDescent="0.25">
      <c r="B61" s="554"/>
      <c r="C61" s="551"/>
      <c r="D61" s="551"/>
      <c r="E61" s="184"/>
      <c r="F61" s="184"/>
      <c r="G61" s="1203"/>
      <c r="H61" s="1204"/>
      <c r="I61" s="1204"/>
      <c r="J61" s="1204"/>
      <c r="K61" s="1204"/>
      <c r="L61" s="1204"/>
      <c r="M61" s="1204"/>
      <c r="N61" s="1204"/>
      <c r="O61" s="1204"/>
      <c r="P61" s="1204"/>
      <c r="Q61" s="1204"/>
      <c r="R61" s="1204"/>
      <c r="S61" s="1204"/>
      <c r="T61" s="1204"/>
      <c r="U61" s="1204"/>
      <c r="V61" s="1204"/>
      <c r="W61" s="1204"/>
      <c r="X61" s="1204"/>
      <c r="Y61" s="1204"/>
      <c r="Z61" s="1204"/>
      <c r="AA61" s="1204"/>
    </row>
    <row r="62" spans="2:27" ht="17.25" customHeight="1" outlineLevel="1" x14ac:dyDescent="0.25">
      <c r="B62" s="540" t="s">
        <v>112</v>
      </c>
      <c r="C62" s="541"/>
      <c r="D62" s="541"/>
      <c r="E62" s="209"/>
      <c r="F62" s="209" t="s">
        <v>22</v>
      </c>
      <c r="G62" s="1200"/>
      <c r="H62" s="1366" t="e">
        <f>H58*H60</f>
        <v>#VALUE!</v>
      </c>
      <c r="I62" s="1366" t="e">
        <f t="shared" ref="I62:AA62" si="14">I58*I60</f>
        <v>#VALUE!</v>
      </c>
      <c r="J62" s="1366" t="e">
        <f t="shared" si="14"/>
        <v>#VALUE!</v>
      </c>
      <c r="K62" s="1366" t="e">
        <f t="shared" si="14"/>
        <v>#VALUE!</v>
      </c>
      <c r="L62" s="1366" t="e">
        <f t="shared" si="14"/>
        <v>#VALUE!</v>
      </c>
      <c r="M62" s="1366" t="e">
        <f t="shared" si="14"/>
        <v>#VALUE!</v>
      </c>
      <c r="N62" s="1366" t="e">
        <f t="shared" si="14"/>
        <v>#VALUE!</v>
      </c>
      <c r="O62" s="1366" t="e">
        <f t="shared" si="14"/>
        <v>#VALUE!</v>
      </c>
      <c r="P62" s="1366" t="e">
        <f t="shared" si="14"/>
        <v>#VALUE!</v>
      </c>
      <c r="Q62" s="1366" t="e">
        <f t="shared" si="14"/>
        <v>#VALUE!</v>
      </c>
      <c r="R62" s="1366" t="e">
        <f t="shared" si="14"/>
        <v>#VALUE!</v>
      </c>
      <c r="S62" s="1366" t="e">
        <f t="shared" si="14"/>
        <v>#VALUE!</v>
      </c>
      <c r="T62" s="1366" t="e">
        <f t="shared" si="14"/>
        <v>#VALUE!</v>
      </c>
      <c r="U62" s="1366" t="e">
        <f t="shared" si="14"/>
        <v>#VALUE!</v>
      </c>
      <c r="V62" s="1366" t="e">
        <f t="shared" si="14"/>
        <v>#VALUE!</v>
      </c>
      <c r="W62" s="1366" t="e">
        <f t="shared" si="14"/>
        <v>#VALUE!</v>
      </c>
      <c r="X62" s="1366" t="e">
        <f t="shared" si="14"/>
        <v>#VALUE!</v>
      </c>
      <c r="Y62" s="1366" t="e">
        <f t="shared" si="14"/>
        <v>#VALUE!</v>
      </c>
      <c r="Z62" s="1366" t="e">
        <f t="shared" si="14"/>
        <v>#VALUE!</v>
      </c>
      <c r="AA62" s="1366" t="e">
        <f t="shared" si="14"/>
        <v>#VALUE!</v>
      </c>
    </row>
    <row r="63" spans="2:27" ht="6.75" customHeight="1" outlineLevel="1" x14ac:dyDescent="0.25">
      <c r="B63" s="540"/>
      <c r="C63" s="541"/>
      <c r="D63" s="541"/>
      <c r="E63" s="209"/>
      <c r="F63" s="209"/>
      <c r="G63" s="1200"/>
      <c r="H63" s="1366"/>
      <c r="I63" s="1366"/>
      <c r="J63" s="1366"/>
      <c r="K63" s="1366"/>
      <c r="L63" s="1366"/>
      <c r="M63" s="1366"/>
      <c r="N63" s="1366"/>
      <c r="O63" s="1366"/>
      <c r="P63" s="1366"/>
      <c r="Q63" s="1366"/>
      <c r="R63" s="1366"/>
      <c r="S63" s="1366"/>
      <c r="T63" s="1366"/>
      <c r="U63" s="1366"/>
      <c r="V63" s="1366"/>
      <c r="W63" s="1366"/>
      <c r="X63" s="1366"/>
      <c r="Y63" s="1366"/>
      <c r="Z63" s="1366"/>
      <c r="AA63" s="1366"/>
    </row>
    <row r="64" spans="2:27" ht="17.25" customHeight="1" outlineLevel="1" x14ac:dyDescent="0.25">
      <c r="B64" s="540" t="s">
        <v>113</v>
      </c>
      <c r="C64" s="541"/>
      <c r="D64" s="541"/>
      <c r="E64" s="209"/>
      <c r="F64" s="209" t="s">
        <v>22</v>
      </c>
      <c r="G64" s="1200"/>
      <c r="H64" s="1366">
        <f>-H24</f>
        <v>0</v>
      </c>
      <c r="I64" s="1366">
        <f t="shared" ref="I64:AA64" si="15">-I24</f>
        <v>0</v>
      </c>
      <c r="J64" s="1366">
        <f t="shared" si="15"/>
        <v>0</v>
      </c>
      <c r="K64" s="1366">
        <f t="shared" si="15"/>
        <v>0</v>
      </c>
      <c r="L64" s="1366">
        <f t="shared" si="15"/>
        <v>0</v>
      </c>
      <c r="M64" s="1366">
        <f t="shared" si="15"/>
        <v>0</v>
      </c>
      <c r="N64" s="1366">
        <f t="shared" si="15"/>
        <v>0</v>
      </c>
      <c r="O64" s="1366">
        <f t="shared" si="15"/>
        <v>0</v>
      </c>
      <c r="P64" s="1366">
        <f t="shared" si="15"/>
        <v>0</v>
      </c>
      <c r="Q64" s="1366">
        <f t="shared" si="15"/>
        <v>0</v>
      </c>
      <c r="R64" s="1366">
        <f t="shared" si="15"/>
        <v>0</v>
      </c>
      <c r="S64" s="1366">
        <f t="shared" si="15"/>
        <v>0</v>
      </c>
      <c r="T64" s="1366">
        <f t="shared" si="15"/>
        <v>0</v>
      </c>
      <c r="U64" s="1366">
        <f t="shared" si="15"/>
        <v>0</v>
      </c>
      <c r="V64" s="1366">
        <f t="shared" si="15"/>
        <v>0</v>
      </c>
      <c r="W64" s="1366">
        <f t="shared" si="15"/>
        <v>0</v>
      </c>
      <c r="X64" s="1366">
        <f t="shared" si="15"/>
        <v>0</v>
      </c>
      <c r="Y64" s="1366">
        <f t="shared" si="15"/>
        <v>0</v>
      </c>
      <c r="Z64" s="1366">
        <f t="shared" si="15"/>
        <v>0</v>
      </c>
      <c r="AA64" s="1366">
        <f t="shared" si="15"/>
        <v>0</v>
      </c>
    </row>
    <row r="65" spans="2:27" ht="4.5" customHeight="1" outlineLevel="1" x14ac:dyDescent="0.25">
      <c r="B65" s="540"/>
      <c r="C65" s="541"/>
      <c r="D65" s="541"/>
      <c r="E65" s="209"/>
      <c r="F65" s="209"/>
      <c r="G65" s="1200"/>
      <c r="H65" s="1366"/>
      <c r="I65" s="1366"/>
      <c r="J65" s="1366"/>
      <c r="K65" s="1366"/>
      <c r="L65" s="1366"/>
      <c r="M65" s="1366"/>
      <c r="N65" s="1366"/>
      <c r="O65" s="1366"/>
      <c r="P65" s="1366"/>
      <c r="Q65" s="1366"/>
      <c r="R65" s="1366"/>
      <c r="S65" s="1366"/>
      <c r="T65" s="1366"/>
      <c r="U65" s="1366"/>
      <c r="V65" s="1366"/>
      <c r="W65" s="1366"/>
      <c r="X65" s="1366"/>
      <c r="Y65" s="1366"/>
      <c r="Z65" s="1366"/>
      <c r="AA65" s="1366"/>
    </row>
    <row r="66" spans="2:27" ht="17.25" customHeight="1" outlineLevel="1" x14ac:dyDescent="0.25">
      <c r="B66" s="553" t="s">
        <v>114</v>
      </c>
      <c r="C66" s="569"/>
      <c r="D66" s="569"/>
      <c r="E66" s="570"/>
      <c r="F66" s="570"/>
      <c r="G66" s="1202"/>
      <c r="H66" s="1367" t="e">
        <f>H62+H64</f>
        <v>#VALUE!</v>
      </c>
      <c r="I66" s="1367" t="e">
        <f t="shared" ref="I66:AA66" si="16">I62+I64</f>
        <v>#VALUE!</v>
      </c>
      <c r="J66" s="1367" t="e">
        <f t="shared" si="16"/>
        <v>#VALUE!</v>
      </c>
      <c r="K66" s="1367" t="e">
        <f t="shared" si="16"/>
        <v>#VALUE!</v>
      </c>
      <c r="L66" s="1367" t="e">
        <f t="shared" si="16"/>
        <v>#VALUE!</v>
      </c>
      <c r="M66" s="1367" t="e">
        <f t="shared" si="16"/>
        <v>#VALUE!</v>
      </c>
      <c r="N66" s="1367" t="e">
        <f t="shared" si="16"/>
        <v>#VALUE!</v>
      </c>
      <c r="O66" s="1367" t="e">
        <f t="shared" si="16"/>
        <v>#VALUE!</v>
      </c>
      <c r="P66" s="1367" t="e">
        <f t="shared" si="16"/>
        <v>#VALUE!</v>
      </c>
      <c r="Q66" s="1367" t="e">
        <f t="shared" si="16"/>
        <v>#VALUE!</v>
      </c>
      <c r="R66" s="1367" t="e">
        <f t="shared" si="16"/>
        <v>#VALUE!</v>
      </c>
      <c r="S66" s="1367" t="e">
        <f t="shared" si="16"/>
        <v>#VALUE!</v>
      </c>
      <c r="T66" s="1367" t="e">
        <f t="shared" si="16"/>
        <v>#VALUE!</v>
      </c>
      <c r="U66" s="1367" t="e">
        <f t="shared" si="16"/>
        <v>#VALUE!</v>
      </c>
      <c r="V66" s="1367" t="e">
        <f t="shared" si="16"/>
        <v>#VALUE!</v>
      </c>
      <c r="W66" s="1367" t="e">
        <f t="shared" si="16"/>
        <v>#VALUE!</v>
      </c>
      <c r="X66" s="1367" t="e">
        <f t="shared" si="16"/>
        <v>#VALUE!</v>
      </c>
      <c r="Y66" s="1367" t="e">
        <f t="shared" si="16"/>
        <v>#VALUE!</v>
      </c>
      <c r="Z66" s="1367" t="e">
        <f t="shared" si="16"/>
        <v>#VALUE!</v>
      </c>
      <c r="AA66" s="1367" t="e">
        <f t="shared" si="16"/>
        <v>#VALUE!</v>
      </c>
    </row>
    <row r="67" spans="2:27" ht="7.5" customHeight="1" outlineLevel="1" x14ac:dyDescent="0.25">
      <c r="B67" s="540"/>
      <c r="C67" s="541"/>
      <c r="D67" s="541"/>
      <c r="E67" s="209"/>
      <c r="F67" s="209"/>
      <c r="G67" s="1200"/>
      <c r="H67" s="1366"/>
      <c r="I67" s="1366"/>
      <c r="J67" s="1366"/>
      <c r="K67" s="1366"/>
      <c r="L67" s="1366"/>
      <c r="M67" s="1366"/>
      <c r="N67" s="1366"/>
      <c r="O67" s="1366"/>
      <c r="P67" s="1366"/>
      <c r="Q67" s="1366"/>
      <c r="R67" s="1366"/>
      <c r="S67" s="1366"/>
      <c r="T67" s="1366"/>
      <c r="U67" s="1366"/>
      <c r="V67" s="1366"/>
      <c r="W67" s="1366"/>
      <c r="X67" s="1366"/>
      <c r="Y67" s="1366"/>
      <c r="Z67" s="1366"/>
      <c r="AA67" s="1366"/>
    </row>
    <row r="68" spans="2:27" ht="17.25" customHeight="1" outlineLevel="1" x14ac:dyDescent="0.25">
      <c r="B68" s="540" t="s">
        <v>115</v>
      </c>
      <c r="C68" s="541"/>
      <c r="D68" s="541"/>
      <c r="E68" s="209"/>
      <c r="F68" s="209"/>
      <c r="G68" s="1200"/>
      <c r="H68" s="1366" t="e">
        <f>-H26</f>
        <v>#VALUE!</v>
      </c>
      <c r="I68" s="1366" t="e">
        <f t="shared" ref="I68:AA68" si="17">-I26</f>
        <v>#VALUE!</v>
      </c>
      <c r="J68" s="1366" t="e">
        <f t="shared" si="17"/>
        <v>#VALUE!</v>
      </c>
      <c r="K68" s="1366" t="e">
        <f t="shared" si="17"/>
        <v>#VALUE!</v>
      </c>
      <c r="L68" s="1366" t="e">
        <f t="shared" si="17"/>
        <v>#VALUE!</v>
      </c>
      <c r="M68" s="1366" t="e">
        <f t="shared" si="17"/>
        <v>#VALUE!</v>
      </c>
      <c r="N68" s="1366" t="e">
        <f t="shared" si="17"/>
        <v>#VALUE!</v>
      </c>
      <c r="O68" s="1366" t="e">
        <f t="shared" si="17"/>
        <v>#VALUE!</v>
      </c>
      <c r="P68" s="1366" t="e">
        <f t="shared" si="17"/>
        <v>#VALUE!</v>
      </c>
      <c r="Q68" s="1366" t="e">
        <f t="shared" si="17"/>
        <v>#VALUE!</v>
      </c>
      <c r="R68" s="1366" t="e">
        <f t="shared" si="17"/>
        <v>#VALUE!</v>
      </c>
      <c r="S68" s="1366" t="e">
        <f t="shared" si="17"/>
        <v>#VALUE!</v>
      </c>
      <c r="T68" s="1366" t="e">
        <f t="shared" si="17"/>
        <v>#VALUE!</v>
      </c>
      <c r="U68" s="1366" t="e">
        <f t="shared" si="17"/>
        <v>#VALUE!</v>
      </c>
      <c r="V68" s="1366" t="e">
        <f t="shared" si="17"/>
        <v>#VALUE!</v>
      </c>
      <c r="W68" s="1366" t="e">
        <f t="shared" si="17"/>
        <v>#VALUE!</v>
      </c>
      <c r="X68" s="1366" t="e">
        <f t="shared" si="17"/>
        <v>#VALUE!</v>
      </c>
      <c r="Y68" s="1366" t="e">
        <f t="shared" si="17"/>
        <v>#VALUE!</v>
      </c>
      <c r="Z68" s="1366" t="e">
        <f t="shared" si="17"/>
        <v>#VALUE!</v>
      </c>
      <c r="AA68" s="1366" t="e">
        <f t="shared" si="17"/>
        <v>#VALUE!</v>
      </c>
    </row>
    <row r="69" spans="2:27" ht="9" customHeight="1" outlineLevel="1" x14ac:dyDescent="0.25">
      <c r="B69" s="540"/>
      <c r="C69" s="541"/>
      <c r="D69" s="541"/>
      <c r="E69" s="209"/>
      <c r="F69" s="209"/>
      <c r="G69" s="1200"/>
      <c r="H69" s="1366"/>
      <c r="I69" s="1366"/>
      <c r="J69" s="1366"/>
      <c r="K69" s="1366"/>
      <c r="L69" s="1366"/>
      <c r="M69" s="1366"/>
      <c r="N69" s="1366"/>
      <c r="O69" s="1366"/>
      <c r="P69" s="1366"/>
      <c r="Q69" s="1366"/>
      <c r="R69" s="1366"/>
      <c r="S69" s="1366"/>
      <c r="T69" s="1366"/>
      <c r="U69" s="1366"/>
      <c r="V69" s="1366"/>
      <c r="W69" s="1366"/>
      <c r="X69" s="1366"/>
      <c r="Y69" s="1366"/>
      <c r="Z69" s="1366"/>
      <c r="AA69" s="1366"/>
    </row>
    <row r="70" spans="2:27" ht="17.25" customHeight="1" outlineLevel="1" x14ac:dyDescent="0.25">
      <c r="B70" s="553" t="s">
        <v>116</v>
      </c>
      <c r="C70" s="569"/>
      <c r="D70" s="569"/>
      <c r="E70" s="570"/>
      <c r="F70" s="570"/>
      <c r="G70" s="1202"/>
      <c r="H70" s="1367" t="e">
        <f>H66+H68</f>
        <v>#VALUE!</v>
      </c>
      <c r="I70" s="1367" t="e">
        <f t="shared" ref="I70:AA70" si="18">I66+I68</f>
        <v>#VALUE!</v>
      </c>
      <c r="J70" s="1367" t="e">
        <f t="shared" si="18"/>
        <v>#VALUE!</v>
      </c>
      <c r="K70" s="1367" t="e">
        <f t="shared" si="18"/>
        <v>#VALUE!</v>
      </c>
      <c r="L70" s="1367" t="e">
        <f t="shared" si="18"/>
        <v>#VALUE!</v>
      </c>
      <c r="M70" s="1367" t="e">
        <f t="shared" si="18"/>
        <v>#VALUE!</v>
      </c>
      <c r="N70" s="1367" t="e">
        <f t="shared" si="18"/>
        <v>#VALUE!</v>
      </c>
      <c r="O70" s="1367" t="e">
        <f t="shared" si="18"/>
        <v>#VALUE!</v>
      </c>
      <c r="P70" s="1367" t="e">
        <f t="shared" si="18"/>
        <v>#VALUE!</v>
      </c>
      <c r="Q70" s="1367" t="e">
        <f t="shared" si="18"/>
        <v>#VALUE!</v>
      </c>
      <c r="R70" s="1367" t="e">
        <f t="shared" si="18"/>
        <v>#VALUE!</v>
      </c>
      <c r="S70" s="1367" t="e">
        <f t="shared" si="18"/>
        <v>#VALUE!</v>
      </c>
      <c r="T70" s="1367" t="e">
        <f t="shared" si="18"/>
        <v>#VALUE!</v>
      </c>
      <c r="U70" s="1367" t="e">
        <f t="shared" si="18"/>
        <v>#VALUE!</v>
      </c>
      <c r="V70" s="1367" t="e">
        <f t="shared" si="18"/>
        <v>#VALUE!</v>
      </c>
      <c r="W70" s="1367" t="e">
        <f t="shared" si="18"/>
        <v>#VALUE!</v>
      </c>
      <c r="X70" s="1367" t="e">
        <f t="shared" si="18"/>
        <v>#VALUE!</v>
      </c>
      <c r="Y70" s="1367" t="e">
        <f t="shared" si="18"/>
        <v>#VALUE!</v>
      </c>
      <c r="Z70" s="1367" t="e">
        <f t="shared" si="18"/>
        <v>#VALUE!</v>
      </c>
      <c r="AA70" s="1367" t="e">
        <f t="shared" si="18"/>
        <v>#VALUE!</v>
      </c>
    </row>
    <row r="71" spans="2:27" ht="6.75" customHeight="1" outlineLevel="1" x14ac:dyDescent="0.25">
      <c r="B71" s="540"/>
      <c r="C71" s="541"/>
      <c r="D71" s="541"/>
      <c r="E71" s="209"/>
      <c r="F71" s="209"/>
      <c r="G71" s="1200"/>
      <c r="H71" s="1366"/>
      <c r="I71" s="1366"/>
      <c r="J71" s="1366"/>
      <c r="K71" s="1366"/>
      <c r="L71" s="1366"/>
      <c r="M71" s="1366"/>
      <c r="N71" s="1366"/>
      <c r="O71" s="1366"/>
      <c r="P71" s="1366"/>
      <c r="Q71" s="1366"/>
      <c r="R71" s="1366"/>
      <c r="S71" s="1366"/>
      <c r="T71" s="1366"/>
      <c r="U71" s="1366"/>
      <c r="V71" s="1366"/>
      <c r="W71" s="1366"/>
      <c r="X71" s="1366"/>
      <c r="Y71" s="1366"/>
      <c r="Z71" s="1366"/>
      <c r="AA71" s="1366"/>
    </row>
    <row r="72" spans="2:27" ht="17.25" customHeight="1" outlineLevel="1" x14ac:dyDescent="0.25">
      <c r="B72" s="540" t="str">
        <f t="shared" ref="B72:B77" si="19">B28</f>
        <v xml:space="preserve">Interest Expense, public loan </v>
      </c>
      <c r="C72" s="541"/>
      <c r="D72" s="541"/>
      <c r="E72" s="209"/>
      <c r="F72" s="209"/>
      <c r="G72" s="1200"/>
      <c r="H72" s="1366">
        <f t="shared" ref="H72:AA77" si="20">-H28</f>
        <v>0</v>
      </c>
      <c r="I72" s="1366">
        <f t="shared" si="20"/>
        <v>0</v>
      </c>
      <c r="J72" s="1366">
        <f t="shared" si="20"/>
        <v>0</v>
      </c>
      <c r="K72" s="1366">
        <f t="shared" si="20"/>
        <v>0</v>
      </c>
      <c r="L72" s="1366">
        <f t="shared" si="20"/>
        <v>0</v>
      </c>
      <c r="M72" s="1366">
        <f t="shared" si="20"/>
        <v>0</v>
      </c>
      <c r="N72" s="1366">
        <f t="shared" si="20"/>
        <v>0</v>
      </c>
      <c r="O72" s="1366">
        <f t="shared" si="20"/>
        <v>0</v>
      </c>
      <c r="P72" s="1366">
        <f t="shared" si="20"/>
        <v>0</v>
      </c>
      <c r="Q72" s="1366">
        <f t="shared" si="20"/>
        <v>0</v>
      </c>
      <c r="R72" s="1366">
        <f t="shared" si="20"/>
        <v>0</v>
      </c>
      <c r="S72" s="1366">
        <f t="shared" si="20"/>
        <v>0</v>
      </c>
      <c r="T72" s="1366">
        <f t="shared" si="20"/>
        <v>0</v>
      </c>
      <c r="U72" s="1366">
        <f t="shared" si="20"/>
        <v>0</v>
      </c>
      <c r="V72" s="1366">
        <f t="shared" si="20"/>
        <v>0</v>
      </c>
      <c r="W72" s="1366">
        <f t="shared" si="20"/>
        <v>0</v>
      </c>
      <c r="X72" s="1366">
        <f t="shared" si="20"/>
        <v>0</v>
      </c>
      <c r="Y72" s="1366">
        <f t="shared" si="20"/>
        <v>0</v>
      </c>
      <c r="Z72" s="1366">
        <f t="shared" si="20"/>
        <v>0</v>
      </c>
      <c r="AA72" s="1366">
        <f t="shared" si="20"/>
        <v>0</v>
      </c>
    </row>
    <row r="73" spans="2:27" ht="17.25" customHeight="1" outlineLevel="1" x14ac:dyDescent="0.25">
      <c r="B73" s="540" t="str">
        <f t="shared" si="19"/>
        <v>Interest Expense, commercial loan with public guarantees</v>
      </c>
      <c r="C73" s="541"/>
      <c r="D73" s="541"/>
      <c r="E73" s="209"/>
      <c r="F73" s="209"/>
      <c r="G73" s="1200"/>
      <c r="H73" s="1366">
        <f t="shared" si="20"/>
        <v>0</v>
      </c>
      <c r="I73" s="1366">
        <f t="shared" si="20"/>
        <v>0</v>
      </c>
      <c r="J73" s="1366">
        <f t="shared" si="20"/>
        <v>0</v>
      </c>
      <c r="K73" s="1366">
        <f t="shared" si="20"/>
        <v>0</v>
      </c>
      <c r="L73" s="1366">
        <f t="shared" si="20"/>
        <v>0</v>
      </c>
      <c r="M73" s="1366">
        <f t="shared" si="20"/>
        <v>0</v>
      </c>
      <c r="N73" s="1366">
        <f t="shared" si="20"/>
        <v>0</v>
      </c>
      <c r="O73" s="1366">
        <f t="shared" si="20"/>
        <v>0</v>
      </c>
      <c r="P73" s="1366">
        <f t="shared" si="20"/>
        <v>0</v>
      </c>
      <c r="Q73" s="1366">
        <f t="shared" si="20"/>
        <v>0</v>
      </c>
      <c r="R73" s="1366">
        <f t="shared" si="20"/>
        <v>0</v>
      </c>
      <c r="S73" s="1366">
        <f t="shared" si="20"/>
        <v>0</v>
      </c>
      <c r="T73" s="1366">
        <f t="shared" si="20"/>
        <v>0</v>
      </c>
      <c r="U73" s="1366">
        <f t="shared" si="20"/>
        <v>0</v>
      </c>
      <c r="V73" s="1366">
        <f t="shared" si="20"/>
        <v>0</v>
      </c>
      <c r="W73" s="1366">
        <f t="shared" si="20"/>
        <v>0</v>
      </c>
      <c r="X73" s="1366">
        <f t="shared" si="20"/>
        <v>0</v>
      </c>
      <c r="Y73" s="1366">
        <f t="shared" si="20"/>
        <v>0</v>
      </c>
      <c r="Z73" s="1366">
        <f t="shared" si="20"/>
        <v>0</v>
      </c>
      <c r="AA73" s="1366">
        <f t="shared" si="20"/>
        <v>0</v>
      </c>
    </row>
    <row r="74" spans="2:27" ht="17.25" customHeight="1" outlineLevel="1" x14ac:dyDescent="0.25">
      <c r="B74" s="540" t="str">
        <f t="shared" si="19"/>
        <v>Interest Expense, commercial loan without public guarantees</v>
      </c>
      <c r="C74" s="541"/>
      <c r="D74" s="541"/>
      <c r="E74" s="209"/>
      <c r="F74" s="209"/>
      <c r="G74" s="1200"/>
      <c r="H74" s="1366">
        <f t="shared" si="20"/>
        <v>0</v>
      </c>
      <c r="I74" s="1366">
        <f t="shared" si="20"/>
        <v>0</v>
      </c>
      <c r="J74" s="1366">
        <f t="shared" si="20"/>
        <v>0</v>
      </c>
      <c r="K74" s="1366">
        <f t="shared" si="20"/>
        <v>0</v>
      </c>
      <c r="L74" s="1366">
        <f t="shared" si="20"/>
        <v>0</v>
      </c>
      <c r="M74" s="1366">
        <f t="shared" si="20"/>
        <v>0</v>
      </c>
      <c r="N74" s="1366">
        <f t="shared" si="20"/>
        <v>0</v>
      </c>
      <c r="O74" s="1366">
        <f t="shared" si="20"/>
        <v>0</v>
      </c>
      <c r="P74" s="1366">
        <f t="shared" si="20"/>
        <v>0</v>
      </c>
      <c r="Q74" s="1366">
        <f t="shared" si="20"/>
        <v>0</v>
      </c>
      <c r="R74" s="1366">
        <f t="shared" si="20"/>
        <v>0</v>
      </c>
      <c r="S74" s="1366">
        <f t="shared" si="20"/>
        <v>0</v>
      </c>
      <c r="T74" s="1366">
        <f t="shared" si="20"/>
        <v>0</v>
      </c>
      <c r="U74" s="1366">
        <f t="shared" si="20"/>
        <v>0</v>
      </c>
      <c r="V74" s="1366">
        <f t="shared" si="20"/>
        <v>0</v>
      </c>
      <c r="W74" s="1366">
        <f t="shared" si="20"/>
        <v>0</v>
      </c>
      <c r="X74" s="1366">
        <f t="shared" si="20"/>
        <v>0</v>
      </c>
      <c r="Y74" s="1366">
        <f t="shared" si="20"/>
        <v>0</v>
      </c>
      <c r="Z74" s="1366">
        <f t="shared" si="20"/>
        <v>0</v>
      </c>
      <c r="AA74" s="1366">
        <f t="shared" si="20"/>
        <v>0</v>
      </c>
    </row>
    <row r="75" spans="2:27" ht="17.25" customHeight="1" outlineLevel="1" x14ac:dyDescent="0.25">
      <c r="B75" s="540" t="str">
        <f t="shared" si="19"/>
        <v xml:space="preserve">Front-end Fees </v>
      </c>
      <c r="C75" s="541"/>
      <c r="D75" s="541"/>
      <c r="E75" s="209"/>
      <c r="F75" s="209"/>
      <c r="G75" s="1200"/>
      <c r="H75" s="1366">
        <f t="shared" si="20"/>
        <v>0</v>
      </c>
      <c r="I75" s="1366">
        <f t="shared" si="20"/>
        <v>0</v>
      </c>
      <c r="J75" s="1366">
        <f t="shared" si="20"/>
        <v>0</v>
      </c>
      <c r="K75" s="1366">
        <f t="shared" si="20"/>
        <v>0</v>
      </c>
      <c r="L75" s="1366">
        <f t="shared" si="20"/>
        <v>0</v>
      </c>
      <c r="M75" s="1366">
        <f t="shared" si="20"/>
        <v>0</v>
      </c>
      <c r="N75" s="1366">
        <f t="shared" si="20"/>
        <v>0</v>
      </c>
      <c r="O75" s="1366">
        <f t="shared" si="20"/>
        <v>0</v>
      </c>
      <c r="P75" s="1366">
        <f t="shared" si="20"/>
        <v>0</v>
      </c>
      <c r="Q75" s="1366">
        <f t="shared" si="20"/>
        <v>0</v>
      </c>
      <c r="R75" s="1366">
        <f t="shared" si="20"/>
        <v>0</v>
      </c>
      <c r="S75" s="1366">
        <f t="shared" si="20"/>
        <v>0</v>
      </c>
      <c r="T75" s="1366">
        <f t="shared" si="20"/>
        <v>0</v>
      </c>
      <c r="U75" s="1366">
        <f t="shared" si="20"/>
        <v>0</v>
      </c>
      <c r="V75" s="1366">
        <f t="shared" si="20"/>
        <v>0</v>
      </c>
      <c r="W75" s="1366">
        <f t="shared" si="20"/>
        <v>0</v>
      </c>
      <c r="X75" s="1366">
        <f t="shared" si="20"/>
        <v>0</v>
      </c>
      <c r="Y75" s="1366">
        <f t="shared" si="20"/>
        <v>0</v>
      </c>
      <c r="Z75" s="1366">
        <f t="shared" si="20"/>
        <v>0</v>
      </c>
      <c r="AA75" s="1366">
        <f t="shared" si="20"/>
        <v>0</v>
      </c>
    </row>
    <row r="76" spans="2:27" ht="17.25" customHeight="1" outlineLevel="1" x14ac:dyDescent="0.25">
      <c r="B76" s="540" t="str">
        <f t="shared" si="19"/>
        <v xml:space="preserve">Public Guarantee Fees </v>
      </c>
      <c r="C76" s="541"/>
      <c r="D76" s="541"/>
      <c r="E76" s="209"/>
      <c r="F76" s="209"/>
      <c r="G76" s="1200"/>
      <c r="H76" s="1366">
        <f t="shared" si="20"/>
        <v>0</v>
      </c>
      <c r="I76" s="1366">
        <f t="shared" si="20"/>
        <v>0</v>
      </c>
      <c r="J76" s="1366">
        <f t="shared" si="20"/>
        <v>0</v>
      </c>
      <c r="K76" s="1366">
        <f t="shared" si="20"/>
        <v>0</v>
      </c>
      <c r="L76" s="1366">
        <f t="shared" si="20"/>
        <v>0</v>
      </c>
      <c r="M76" s="1366">
        <f t="shared" si="20"/>
        <v>0</v>
      </c>
      <c r="N76" s="1366">
        <f t="shared" si="20"/>
        <v>0</v>
      </c>
      <c r="O76" s="1366">
        <f t="shared" si="20"/>
        <v>0</v>
      </c>
      <c r="P76" s="1366">
        <f t="shared" si="20"/>
        <v>0</v>
      </c>
      <c r="Q76" s="1366">
        <f t="shared" si="20"/>
        <v>0</v>
      </c>
      <c r="R76" s="1366">
        <f t="shared" si="20"/>
        <v>0</v>
      </c>
      <c r="S76" s="1366">
        <f t="shared" si="20"/>
        <v>0</v>
      </c>
      <c r="T76" s="1366">
        <f t="shared" si="20"/>
        <v>0</v>
      </c>
      <c r="U76" s="1366">
        <f t="shared" si="20"/>
        <v>0</v>
      </c>
      <c r="V76" s="1366">
        <f t="shared" si="20"/>
        <v>0</v>
      </c>
      <c r="W76" s="1366">
        <f t="shared" si="20"/>
        <v>0</v>
      </c>
      <c r="X76" s="1366">
        <f t="shared" si="20"/>
        <v>0</v>
      </c>
      <c r="Y76" s="1366">
        <f t="shared" si="20"/>
        <v>0</v>
      </c>
      <c r="Z76" s="1366">
        <f t="shared" si="20"/>
        <v>0</v>
      </c>
      <c r="AA76" s="1366">
        <f t="shared" si="20"/>
        <v>0</v>
      </c>
    </row>
    <row r="77" spans="2:27" ht="17.25" customHeight="1" outlineLevel="1" x14ac:dyDescent="0.25">
      <c r="B77" s="540" t="str">
        <f t="shared" si="19"/>
        <v>Political Risk Insurance - Fees &amp; Annual Premium Payments</v>
      </c>
      <c r="C77" s="541"/>
      <c r="D77" s="541"/>
      <c r="E77" s="209"/>
      <c r="F77" s="209"/>
      <c r="G77" s="1200"/>
      <c r="H77" s="1366">
        <f t="shared" si="20"/>
        <v>0</v>
      </c>
      <c r="I77" s="1366">
        <f t="shared" si="20"/>
        <v>0</v>
      </c>
      <c r="J77" s="1366">
        <f t="shared" si="20"/>
        <v>0</v>
      </c>
      <c r="K77" s="1366">
        <f t="shared" si="20"/>
        <v>0</v>
      </c>
      <c r="L77" s="1366">
        <f t="shared" si="20"/>
        <v>0</v>
      </c>
      <c r="M77" s="1366">
        <f t="shared" si="20"/>
        <v>0</v>
      </c>
      <c r="N77" s="1366">
        <f t="shared" si="20"/>
        <v>0</v>
      </c>
      <c r="O77" s="1366">
        <f t="shared" si="20"/>
        <v>0</v>
      </c>
      <c r="P77" s="1366">
        <f t="shared" si="20"/>
        <v>0</v>
      </c>
      <c r="Q77" s="1366">
        <f t="shared" si="20"/>
        <v>0</v>
      </c>
      <c r="R77" s="1366">
        <f t="shared" si="20"/>
        <v>0</v>
      </c>
      <c r="S77" s="1366">
        <f t="shared" si="20"/>
        <v>0</v>
      </c>
      <c r="T77" s="1366">
        <f t="shared" si="20"/>
        <v>0</v>
      </c>
      <c r="U77" s="1366">
        <f t="shared" si="20"/>
        <v>0</v>
      </c>
      <c r="V77" s="1366">
        <f t="shared" si="20"/>
        <v>0</v>
      </c>
      <c r="W77" s="1366">
        <f t="shared" si="20"/>
        <v>0</v>
      </c>
      <c r="X77" s="1366">
        <f t="shared" si="20"/>
        <v>0</v>
      </c>
      <c r="Y77" s="1366">
        <f t="shared" si="20"/>
        <v>0</v>
      </c>
      <c r="Z77" s="1366">
        <f t="shared" si="20"/>
        <v>0</v>
      </c>
      <c r="AA77" s="1366">
        <f t="shared" si="20"/>
        <v>0</v>
      </c>
    </row>
    <row r="78" spans="2:27" ht="9.75" customHeight="1" outlineLevel="1" x14ac:dyDescent="0.25">
      <c r="B78" s="540"/>
      <c r="C78" s="541"/>
      <c r="D78" s="541"/>
      <c r="E78" s="209"/>
      <c r="F78" s="209"/>
      <c r="G78" s="1200"/>
      <c r="H78" s="1366"/>
      <c r="I78" s="1366"/>
      <c r="J78" s="1366"/>
      <c r="K78" s="1366"/>
      <c r="L78" s="1366"/>
      <c r="M78" s="1366"/>
      <c r="N78" s="1366"/>
      <c r="O78" s="1366"/>
      <c r="P78" s="1366"/>
      <c r="Q78" s="1366"/>
      <c r="R78" s="1366"/>
      <c r="S78" s="1366"/>
      <c r="T78" s="1366"/>
      <c r="U78" s="1366"/>
      <c r="V78" s="1366"/>
      <c r="W78" s="1366"/>
      <c r="X78" s="1366"/>
      <c r="Y78" s="1366"/>
      <c r="Z78" s="1366"/>
      <c r="AA78" s="1366"/>
    </row>
    <row r="79" spans="2:27" ht="17.25" customHeight="1" outlineLevel="1" x14ac:dyDescent="0.25">
      <c r="B79" s="553" t="s">
        <v>117</v>
      </c>
      <c r="C79" s="569"/>
      <c r="D79" s="569"/>
      <c r="E79" s="570"/>
      <c r="F79" s="570"/>
      <c r="G79" s="1202"/>
      <c r="H79" s="1367" t="e">
        <f>H70+(SUM(H72:H77))</f>
        <v>#VALUE!</v>
      </c>
      <c r="I79" s="1367" t="e">
        <f t="shared" ref="I79:AA79" si="21">I70+(SUM(I72:I77))</f>
        <v>#VALUE!</v>
      </c>
      <c r="J79" s="1367" t="e">
        <f t="shared" si="21"/>
        <v>#VALUE!</v>
      </c>
      <c r="K79" s="1367" t="e">
        <f t="shared" si="21"/>
        <v>#VALUE!</v>
      </c>
      <c r="L79" s="1367" t="e">
        <f t="shared" si="21"/>
        <v>#VALUE!</v>
      </c>
      <c r="M79" s="1367" t="e">
        <f t="shared" si="21"/>
        <v>#VALUE!</v>
      </c>
      <c r="N79" s="1367" t="e">
        <f t="shared" si="21"/>
        <v>#VALUE!</v>
      </c>
      <c r="O79" s="1367" t="e">
        <f t="shared" si="21"/>
        <v>#VALUE!</v>
      </c>
      <c r="P79" s="1367" t="e">
        <f t="shared" si="21"/>
        <v>#VALUE!</v>
      </c>
      <c r="Q79" s="1367" t="e">
        <f t="shared" si="21"/>
        <v>#VALUE!</v>
      </c>
      <c r="R79" s="1367" t="e">
        <f t="shared" si="21"/>
        <v>#VALUE!</v>
      </c>
      <c r="S79" s="1367" t="e">
        <f t="shared" si="21"/>
        <v>#VALUE!</v>
      </c>
      <c r="T79" s="1367" t="e">
        <f t="shared" si="21"/>
        <v>#VALUE!</v>
      </c>
      <c r="U79" s="1367" t="e">
        <f t="shared" si="21"/>
        <v>#VALUE!</v>
      </c>
      <c r="V79" s="1367" t="e">
        <f t="shared" si="21"/>
        <v>#VALUE!</v>
      </c>
      <c r="W79" s="1367" t="e">
        <f t="shared" si="21"/>
        <v>#VALUE!</v>
      </c>
      <c r="X79" s="1367" t="e">
        <f t="shared" si="21"/>
        <v>#VALUE!</v>
      </c>
      <c r="Y79" s="1367" t="e">
        <f t="shared" si="21"/>
        <v>#VALUE!</v>
      </c>
      <c r="Z79" s="1367" t="e">
        <f t="shared" si="21"/>
        <v>#VALUE!</v>
      </c>
      <c r="AA79" s="1367" t="e">
        <f t="shared" si="21"/>
        <v>#VALUE!</v>
      </c>
    </row>
    <row r="80" spans="2:27" ht="6.75" customHeight="1" outlineLevel="1" x14ac:dyDescent="0.25">
      <c r="B80" s="540"/>
      <c r="C80" s="541"/>
      <c r="D80" s="541"/>
      <c r="E80" s="209"/>
      <c r="F80" s="209"/>
      <c r="G80" s="1200"/>
      <c r="H80" s="1366"/>
      <c r="I80" s="1366"/>
      <c r="J80" s="1366"/>
      <c r="K80" s="1366"/>
      <c r="L80" s="1366"/>
      <c r="M80" s="1366"/>
      <c r="N80" s="1366"/>
      <c r="O80" s="1366"/>
      <c r="P80" s="1366"/>
      <c r="Q80" s="1366"/>
      <c r="R80" s="1366"/>
      <c r="S80" s="1366"/>
      <c r="T80" s="1366"/>
      <c r="U80" s="1366"/>
      <c r="V80" s="1366"/>
      <c r="W80" s="1366"/>
      <c r="X80" s="1366"/>
      <c r="Y80" s="1366"/>
      <c r="Z80" s="1366"/>
      <c r="AA80" s="1366"/>
    </row>
    <row r="81" spans="2:27" ht="17.25" customHeight="1" outlineLevel="1" x14ac:dyDescent="0.25">
      <c r="B81" s="540" t="s">
        <v>118</v>
      </c>
      <c r="C81" s="541"/>
      <c r="D81" s="541"/>
      <c r="E81" s="209"/>
      <c r="F81" s="209"/>
      <c r="G81" s="1200"/>
      <c r="H81" s="1366" t="e">
        <f>IF(H79&lt;0,(-H79*'III. Inputs, Renewable Energy'!$U$18),(-'VI. LCOE, Ren. En. Grid Intconx'!H79*'III. Inputs, Renewable Energy'!$U$18))</f>
        <v>#VALUE!</v>
      </c>
      <c r="I81" s="1366" t="e">
        <f>IF(I79&lt;0,(-I79*'III. Inputs, Renewable Energy'!$U$18),(-'VI. LCOE, Ren. En. Grid Intconx'!I79*'III. Inputs, Renewable Energy'!$U$18))</f>
        <v>#VALUE!</v>
      </c>
      <c r="J81" s="1366" t="e">
        <f>IF(J79&lt;0,(-J79*'III. Inputs, Renewable Energy'!$U$18),(-'VI. LCOE, Ren. En. Grid Intconx'!J79*'III. Inputs, Renewable Energy'!$U$18))</f>
        <v>#VALUE!</v>
      </c>
      <c r="K81" s="1366" t="e">
        <f>IF(K79&lt;0,(-K79*'III. Inputs, Renewable Energy'!$U$18),(-'VI. LCOE, Ren. En. Grid Intconx'!K79*'III. Inputs, Renewable Energy'!$U$18))</f>
        <v>#VALUE!</v>
      </c>
      <c r="L81" s="1366" t="e">
        <f>IF(L79&lt;0,(-L79*'III. Inputs, Renewable Energy'!$U$18),(-'VI. LCOE, Ren. En. Grid Intconx'!L79*'III. Inputs, Renewable Energy'!$U$18))</f>
        <v>#VALUE!</v>
      </c>
      <c r="M81" s="1366" t="e">
        <f>IF(M79&lt;0,(-M79*'III. Inputs, Renewable Energy'!$U$18),(-'VI. LCOE, Ren. En. Grid Intconx'!M79*'III. Inputs, Renewable Energy'!$U$18))</f>
        <v>#VALUE!</v>
      </c>
      <c r="N81" s="1366" t="e">
        <f>IF(N79&lt;0,(-N79*'III. Inputs, Renewable Energy'!$U$18),(-'VI. LCOE, Ren. En. Grid Intconx'!N79*'III. Inputs, Renewable Energy'!$U$18))</f>
        <v>#VALUE!</v>
      </c>
      <c r="O81" s="1366" t="e">
        <f>IF(O79&lt;0,(-O79*'III. Inputs, Renewable Energy'!$U$18),(-'VI. LCOE, Ren. En. Grid Intconx'!O79*'III. Inputs, Renewable Energy'!$U$18))</f>
        <v>#VALUE!</v>
      </c>
      <c r="P81" s="1366" t="e">
        <f>IF(P79&lt;0,(-P79*'III. Inputs, Renewable Energy'!$U$18),(-'VI. LCOE, Ren. En. Grid Intconx'!P79*'III. Inputs, Renewable Energy'!$U$18))</f>
        <v>#VALUE!</v>
      </c>
      <c r="Q81" s="1366" t="e">
        <f>IF(Q79&lt;0,(-Q79*'III. Inputs, Renewable Energy'!$U$18),(-'VI. LCOE, Ren. En. Grid Intconx'!Q79*'III. Inputs, Renewable Energy'!$U$18))</f>
        <v>#VALUE!</v>
      </c>
      <c r="R81" s="1366" t="e">
        <f>IF(R79&lt;0,(-R79*'III. Inputs, Renewable Energy'!$U$18),(-'VI. LCOE, Ren. En. Grid Intconx'!R79*'III. Inputs, Renewable Energy'!$U$18))</f>
        <v>#VALUE!</v>
      </c>
      <c r="S81" s="1366" t="e">
        <f>IF(S79&lt;0,(-S79*'III. Inputs, Renewable Energy'!$U$18),(-'VI. LCOE, Ren. En. Grid Intconx'!S79*'III. Inputs, Renewable Energy'!$U$18))</f>
        <v>#VALUE!</v>
      </c>
      <c r="T81" s="1366" t="e">
        <f>IF(T79&lt;0,(-T79*'III. Inputs, Renewable Energy'!$U$18),(-'VI. LCOE, Ren. En. Grid Intconx'!T79*'III. Inputs, Renewable Energy'!$U$18))</f>
        <v>#VALUE!</v>
      </c>
      <c r="U81" s="1366" t="e">
        <f>IF(U79&lt;0,(-U79*'III. Inputs, Renewable Energy'!$U$18),(-'VI. LCOE, Ren. En. Grid Intconx'!U79*'III. Inputs, Renewable Energy'!$U$18))</f>
        <v>#VALUE!</v>
      </c>
      <c r="V81" s="1366" t="e">
        <f>IF(V79&lt;0,(-V79*'III. Inputs, Renewable Energy'!$U$18),(-'VI. LCOE, Ren. En. Grid Intconx'!V79*'III. Inputs, Renewable Energy'!$U$18))</f>
        <v>#VALUE!</v>
      </c>
      <c r="W81" s="1366" t="e">
        <f>IF(W79&lt;0,(-W79*'III. Inputs, Renewable Energy'!$U$18),(-'VI. LCOE, Ren. En. Grid Intconx'!W79*'III. Inputs, Renewable Energy'!$U$18))</f>
        <v>#VALUE!</v>
      </c>
      <c r="X81" s="1366" t="e">
        <f>IF(X79&lt;0,(-X79*'III. Inputs, Renewable Energy'!$U$18),(-'VI. LCOE, Ren. En. Grid Intconx'!X79*'III. Inputs, Renewable Energy'!$U$18))</f>
        <v>#VALUE!</v>
      </c>
      <c r="Y81" s="1366" t="e">
        <f>IF(Y79&lt;0,(-Y79*'III. Inputs, Renewable Energy'!$U$18),(-'VI. LCOE, Ren. En. Grid Intconx'!Y79*'III. Inputs, Renewable Energy'!$U$18))</f>
        <v>#VALUE!</v>
      </c>
      <c r="Z81" s="1366" t="e">
        <f>IF(Z79&lt;0,(-Z79*'III. Inputs, Renewable Energy'!$U$18),(-'VI. LCOE, Ren. En. Grid Intconx'!Z79*'III. Inputs, Renewable Energy'!$U$18))</f>
        <v>#VALUE!</v>
      </c>
      <c r="AA81" s="1366" t="e">
        <f>IF(AA79&lt;0,(-AA79*'III. Inputs, Renewable Energy'!$U$18),(-'VI. LCOE, Ren. En. Grid Intconx'!AA79*'III. Inputs, Renewable Energy'!$U$18))</f>
        <v>#VALUE!</v>
      </c>
    </row>
    <row r="82" spans="2:27" ht="6.75" customHeight="1" outlineLevel="1" x14ac:dyDescent="0.25">
      <c r="B82" s="554"/>
      <c r="C82" s="551"/>
      <c r="D82" s="551"/>
      <c r="E82" s="184"/>
      <c r="F82" s="184"/>
      <c r="G82" s="1203"/>
      <c r="H82" s="1368"/>
      <c r="I82" s="1368"/>
      <c r="J82" s="1368"/>
      <c r="K82" s="1368"/>
      <c r="L82" s="1368"/>
      <c r="M82" s="1368"/>
      <c r="N82" s="1368"/>
      <c r="O82" s="1368"/>
      <c r="P82" s="1368"/>
      <c r="Q82" s="1368"/>
      <c r="R82" s="1368"/>
      <c r="S82" s="1368"/>
      <c r="T82" s="1368"/>
      <c r="U82" s="1368"/>
      <c r="V82" s="1368"/>
      <c r="W82" s="1368"/>
      <c r="X82" s="1368"/>
      <c r="Y82" s="1368"/>
      <c r="Z82" s="1368"/>
      <c r="AA82" s="1368"/>
    </row>
    <row r="83" spans="2:27" ht="17.25" customHeight="1" outlineLevel="1" x14ac:dyDescent="0.25">
      <c r="B83" s="553" t="s">
        <v>119</v>
      </c>
      <c r="C83" s="569"/>
      <c r="D83" s="569"/>
      <c r="E83" s="570"/>
      <c r="F83" s="570"/>
      <c r="G83" s="1202"/>
      <c r="H83" s="1367" t="e">
        <f>H79+H81</f>
        <v>#VALUE!</v>
      </c>
      <c r="I83" s="1367" t="e">
        <f t="shared" ref="I83:AA83" si="22">I79+I81</f>
        <v>#VALUE!</v>
      </c>
      <c r="J83" s="1367" t="e">
        <f t="shared" si="22"/>
        <v>#VALUE!</v>
      </c>
      <c r="K83" s="1367" t="e">
        <f t="shared" si="22"/>
        <v>#VALUE!</v>
      </c>
      <c r="L83" s="1367" t="e">
        <f t="shared" si="22"/>
        <v>#VALUE!</v>
      </c>
      <c r="M83" s="1367" t="e">
        <f t="shared" si="22"/>
        <v>#VALUE!</v>
      </c>
      <c r="N83" s="1367" t="e">
        <f t="shared" si="22"/>
        <v>#VALUE!</v>
      </c>
      <c r="O83" s="1367" t="e">
        <f t="shared" si="22"/>
        <v>#VALUE!</v>
      </c>
      <c r="P83" s="1367" t="e">
        <f t="shared" si="22"/>
        <v>#VALUE!</v>
      </c>
      <c r="Q83" s="1367" t="e">
        <f t="shared" si="22"/>
        <v>#VALUE!</v>
      </c>
      <c r="R83" s="1367" t="e">
        <f t="shared" si="22"/>
        <v>#VALUE!</v>
      </c>
      <c r="S83" s="1367" t="e">
        <f t="shared" si="22"/>
        <v>#VALUE!</v>
      </c>
      <c r="T83" s="1367" t="e">
        <f t="shared" si="22"/>
        <v>#VALUE!</v>
      </c>
      <c r="U83" s="1367" t="e">
        <f t="shared" si="22"/>
        <v>#VALUE!</v>
      </c>
      <c r="V83" s="1367" t="e">
        <f t="shared" si="22"/>
        <v>#VALUE!</v>
      </c>
      <c r="W83" s="1367" t="e">
        <f t="shared" si="22"/>
        <v>#VALUE!</v>
      </c>
      <c r="X83" s="1367" t="e">
        <f t="shared" si="22"/>
        <v>#VALUE!</v>
      </c>
      <c r="Y83" s="1367" t="e">
        <f t="shared" si="22"/>
        <v>#VALUE!</v>
      </c>
      <c r="Z83" s="1367" t="e">
        <f t="shared" si="22"/>
        <v>#VALUE!</v>
      </c>
      <c r="AA83" s="1367" t="e">
        <f t="shared" si="22"/>
        <v>#VALUE!</v>
      </c>
    </row>
    <row r="84" spans="2:27" ht="17.25" customHeight="1" outlineLevel="1" x14ac:dyDescent="0.25">
      <c r="B84" s="540"/>
      <c r="C84" s="541"/>
      <c r="D84" s="541"/>
      <c r="E84" s="209"/>
      <c r="F84" s="209"/>
      <c r="G84" s="1200"/>
      <c r="H84" s="1201"/>
      <c r="I84" s="1201"/>
      <c r="J84" s="1201"/>
      <c r="K84" s="1201"/>
      <c r="L84" s="1201"/>
      <c r="M84" s="1201"/>
      <c r="N84" s="1201"/>
      <c r="O84" s="1201"/>
      <c r="P84" s="1201"/>
      <c r="Q84" s="1201"/>
      <c r="R84" s="1201"/>
      <c r="S84" s="1201"/>
      <c r="T84" s="1201"/>
      <c r="U84" s="1201"/>
      <c r="V84" s="1201"/>
      <c r="W84" s="1201"/>
      <c r="X84" s="1201"/>
      <c r="Y84" s="1201"/>
      <c r="Z84" s="1201"/>
      <c r="AA84" s="1201"/>
    </row>
    <row r="85" spans="2:27" ht="17.25" customHeight="1" outlineLevel="1" x14ac:dyDescent="0.25">
      <c r="B85" s="540" t="s">
        <v>120</v>
      </c>
      <c r="C85" s="541"/>
      <c r="D85" s="541"/>
      <c r="E85" s="209"/>
      <c r="F85" s="209" t="s">
        <v>22</v>
      </c>
      <c r="G85" s="1357">
        <f>-'III. Inputs, Renewable Energy'!U248</f>
        <v>0</v>
      </c>
      <c r="H85" s="1201"/>
      <c r="I85" s="1201"/>
      <c r="J85" s="1201"/>
      <c r="K85" s="1201"/>
      <c r="L85" s="1201"/>
      <c r="M85" s="1201"/>
      <c r="N85" s="1201"/>
      <c r="O85" s="1201"/>
      <c r="P85" s="1201"/>
      <c r="Q85" s="1201"/>
      <c r="R85" s="1201"/>
      <c r="S85" s="1201"/>
      <c r="T85" s="1201"/>
      <c r="U85" s="1201"/>
      <c r="V85" s="1201"/>
      <c r="W85" s="1201"/>
      <c r="X85" s="1201"/>
      <c r="Y85" s="1201"/>
      <c r="Z85" s="1201"/>
      <c r="AA85" s="1201"/>
    </row>
    <row r="86" spans="2:27" ht="17.25" customHeight="1" outlineLevel="1" x14ac:dyDescent="0.25">
      <c r="B86" s="554" t="s">
        <v>121</v>
      </c>
      <c r="C86" s="551"/>
      <c r="D86" s="551"/>
      <c r="E86" s="184"/>
      <c r="F86" s="184" t="s">
        <v>22</v>
      </c>
      <c r="G86" s="1361">
        <f>'III. Inputs, Renewable Energy'!U248*'III. Inputs, Renewable Energy'!S29</f>
        <v>0</v>
      </c>
      <c r="H86" s="1204"/>
      <c r="I86" s="1204"/>
      <c r="J86" s="1204"/>
      <c r="K86" s="1204"/>
      <c r="L86" s="1204"/>
      <c r="M86" s="1204"/>
      <c r="N86" s="1204"/>
      <c r="O86" s="1204"/>
      <c r="P86" s="1204"/>
      <c r="Q86" s="1204"/>
      <c r="R86" s="1204"/>
      <c r="S86" s="1204"/>
      <c r="T86" s="1204"/>
      <c r="U86" s="1204"/>
      <c r="V86" s="1204"/>
      <c r="W86" s="1204"/>
      <c r="X86" s="1204"/>
      <c r="Y86" s="1204"/>
      <c r="Z86" s="1204"/>
      <c r="AA86" s="1204"/>
    </row>
    <row r="87" spans="2:27" ht="17.25" customHeight="1" outlineLevel="1" x14ac:dyDescent="0.25">
      <c r="B87" s="540" t="s">
        <v>122</v>
      </c>
      <c r="C87" s="541"/>
      <c r="D87" s="541"/>
      <c r="E87" s="209"/>
      <c r="F87" s="209" t="s">
        <v>22</v>
      </c>
      <c r="G87" s="1357">
        <f>G85+G86</f>
        <v>0</v>
      </c>
      <c r="H87" s="1193"/>
      <c r="I87" s="1193"/>
      <c r="J87" s="1193"/>
      <c r="K87" s="1193"/>
      <c r="L87" s="1193"/>
      <c r="M87" s="1193"/>
      <c r="N87" s="1193"/>
      <c r="O87" s="1193"/>
      <c r="P87" s="1193"/>
      <c r="Q87" s="1193"/>
      <c r="R87" s="1193"/>
      <c r="S87" s="1193"/>
      <c r="T87" s="1193"/>
      <c r="U87" s="1193"/>
      <c r="V87" s="1193"/>
      <c r="W87" s="1193"/>
      <c r="X87" s="1193"/>
      <c r="Y87" s="1193"/>
      <c r="Z87" s="1193"/>
      <c r="AA87" s="1193"/>
    </row>
    <row r="88" spans="2:27" ht="10.5" customHeight="1" outlineLevel="1" x14ac:dyDescent="0.25">
      <c r="B88" s="540"/>
      <c r="C88" s="541"/>
      <c r="D88" s="541"/>
      <c r="E88" s="209"/>
      <c r="F88" s="209"/>
      <c r="G88" s="1193"/>
      <c r="H88" s="1193"/>
      <c r="I88" s="1193"/>
      <c r="J88" s="1193"/>
      <c r="K88" s="1193"/>
      <c r="L88" s="1193"/>
      <c r="M88" s="1193"/>
      <c r="N88" s="1193"/>
      <c r="O88" s="1193"/>
      <c r="P88" s="1193"/>
      <c r="Q88" s="1193"/>
      <c r="R88" s="1193"/>
      <c r="S88" s="1193"/>
      <c r="T88" s="1193"/>
      <c r="U88" s="1193"/>
      <c r="V88" s="1193"/>
      <c r="W88" s="1193"/>
      <c r="X88" s="1193"/>
      <c r="Y88" s="1193"/>
      <c r="Z88" s="1193"/>
      <c r="AA88" s="1193"/>
    </row>
    <row r="89" spans="2:27" ht="6.75" customHeight="1" outlineLevel="1" x14ac:dyDescent="0.25">
      <c r="B89" s="540"/>
      <c r="C89" s="541"/>
      <c r="D89" s="541"/>
      <c r="E89" s="209"/>
      <c r="F89" s="209"/>
      <c r="G89" s="1193"/>
      <c r="H89" s="1193"/>
      <c r="I89" s="1193"/>
      <c r="J89" s="1193"/>
      <c r="K89" s="1193"/>
      <c r="L89" s="1193"/>
      <c r="M89" s="1193"/>
      <c r="N89" s="1193"/>
      <c r="O89" s="1193"/>
      <c r="P89" s="1193"/>
      <c r="Q89" s="1193"/>
      <c r="R89" s="1193"/>
      <c r="S89" s="1193"/>
      <c r="T89" s="1193"/>
      <c r="U89" s="1193"/>
      <c r="V89" s="1193"/>
      <c r="W89" s="1193"/>
      <c r="X89" s="1193"/>
      <c r="Y89" s="1193"/>
      <c r="Z89" s="1193"/>
      <c r="AA89" s="1193"/>
    </row>
    <row r="90" spans="2:27" ht="17.25" customHeight="1" outlineLevel="1" x14ac:dyDescent="0.25">
      <c r="B90" s="540" t="s">
        <v>123</v>
      </c>
      <c r="C90" s="541"/>
      <c r="D90" s="541"/>
      <c r="E90" s="209"/>
      <c r="F90" s="209"/>
      <c r="G90" s="1357"/>
      <c r="H90" s="1357" t="e">
        <f>H83</f>
        <v>#VALUE!</v>
      </c>
      <c r="I90" s="1357" t="e">
        <f t="shared" ref="I90:AA90" si="23">I83</f>
        <v>#VALUE!</v>
      </c>
      <c r="J90" s="1357" t="e">
        <f t="shared" si="23"/>
        <v>#VALUE!</v>
      </c>
      <c r="K90" s="1357" t="e">
        <f t="shared" si="23"/>
        <v>#VALUE!</v>
      </c>
      <c r="L90" s="1357" t="e">
        <f t="shared" si="23"/>
        <v>#VALUE!</v>
      </c>
      <c r="M90" s="1357" t="e">
        <f t="shared" si="23"/>
        <v>#VALUE!</v>
      </c>
      <c r="N90" s="1357" t="e">
        <f t="shared" si="23"/>
        <v>#VALUE!</v>
      </c>
      <c r="O90" s="1357" t="e">
        <f t="shared" si="23"/>
        <v>#VALUE!</v>
      </c>
      <c r="P90" s="1357" t="e">
        <f t="shared" si="23"/>
        <v>#VALUE!</v>
      </c>
      <c r="Q90" s="1357" t="e">
        <f t="shared" si="23"/>
        <v>#VALUE!</v>
      </c>
      <c r="R90" s="1357" t="e">
        <f t="shared" si="23"/>
        <v>#VALUE!</v>
      </c>
      <c r="S90" s="1357" t="e">
        <f t="shared" si="23"/>
        <v>#VALUE!</v>
      </c>
      <c r="T90" s="1357" t="e">
        <f t="shared" si="23"/>
        <v>#VALUE!</v>
      </c>
      <c r="U90" s="1357" t="e">
        <f t="shared" si="23"/>
        <v>#VALUE!</v>
      </c>
      <c r="V90" s="1357" t="e">
        <f t="shared" si="23"/>
        <v>#VALUE!</v>
      </c>
      <c r="W90" s="1357" t="e">
        <f t="shared" si="23"/>
        <v>#VALUE!</v>
      </c>
      <c r="X90" s="1357" t="e">
        <f t="shared" si="23"/>
        <v>#VALUE!</v>
      </c>
      <c r="Y90" s="1357" t="e">
        <f t="shared" si="23"/>
        <v>#VALUE!</v>
      </c>
      <c r="Z90" s="1357" t="e">
        <f t="shared" si="23"/>
        <v>#VALUE!</v>
      </c>
      <c r="AA90" s="1357" t="e">
        <f t="shared" si="23"/>
        <v>#VALUE!</v>
      </c>
    </row>
    <row r="91" spans="2:27" ht="17.25" customHeight="1" outlineLevel="1" x14ac:dyDescent="0.25">
      <c r="B91" s="540" t="s">
        <v>124</v>
      </c>
      <c r="C91" s="541"/>
      <c r="D91" s="541"/>
      <c r="E91" s="209"/>
      <c r="F91" s="209" t="s">
        <v>22</v>
      </c>
      <c r="G91" s="1357"/>
      <c r="H91" s="1357" t="e">
        <f t="shared" ref="H91:AA91" si="24">-H68</f>
        <v>#VALUE!</v>
      </c>
      <c r="I91" s="1357" t="e">
        <f t="shared" si="24"/>
        <v>#VALUE!</v>
      </c>
      <c r="J91" s="1357" t="e">
        <f t="shared" si="24"/>
        <v>#VALUE!</v>
      </c>
      <c r="K91" s="1357" t="e">
        <f t="shared" si="24"/>
        <v>#VALUE!</v>
      </c>
      <c r="L91" s="1357" t="e">
        <f t="shared" si="24"/>
        <v>#VALUE!</v>
      </c>
      <c r="M91" s="1357" t="e">
        <f t="shared" si="24"/>
        <v>#VALUE!</v>
      </c>
      <c r="N91" s="1357" t="e">
        <f t="shared" si="24"/>
        <v>#VALUE!</v>
      </c>
      <c r="O91" s="1357" t="e">
        <f t="shared" si="24"/>
        <v>#VALUE!</v>
      </c>
      <c r="P91" s="1357" t="e">
        <f t="shared" si="24"/>
        <v>#VALUE!</v>
      </c>
      <c r="Q91" s="1357" t="e">
        <f t="shared" si="24"/>
        <v>#VALUE!</v>
      </c>
      <c r="R91" s="1357" t="e">
        <f t="shared" si="24"/>
        <v>#VALUE!</v>
      </c>
      <c r="S91" s="1357" t="e">
        <f t="shared" si="24"/>
        <v>#VALUE!</v>
      </c>
      <c r="T91" s="1357" t="e">
        <f t="shared" si="24"/>
        <v>#VALUE!</v>
      </c>
      <c r="U91" s="1357" t="e">
        <f t="shared" si="24"/>
        <v>#VALUE!</v>
      </c>
      <c r="V91" s="1357" t="e">
        <f t="shared" si="24"/>
        <v>#VALUE!</v>
      </c>
      <c r="W91" s="1357" t="e">
        <f t="shared" si="24"/>
        <v>#VALUE!</v>
      </c>
      <c r="X91" s="1357" t="e">
        <f t="shared" si="24"/>
        <v>#VALUE!</v>
      </c>
      <c r="Y91" s="1357" t="e">
        <f t="shared" si="24"/>
        <v>#VALUE!</v>
      </c>
      <c r="Z91" s="1357" t="e">
        <f t="shared" si="24"/>
        <v>#VALUE!</v>
      </c>
      <c r="AA91" s="1357" t="e">
        <f t="shared" si="24"/>
        <v>#VALUE!</v>
      </c>
    </row>
    <row r="92" spans="2:27" ht="17.25" customHeight="1" outlineLevel="1" x14ac:dyDescent="0.25">
      <c r="B92" s="540"/>
      <c r="C92" s="541"/>
      <c r="D92" s="541"/>
      <c r="E92" s="209"/>
      <c r="F92" s="209"/>
      <c r="G92" s="1357"/>
      <c r="H92" s="1357"/>
      <c r="I92" s="1357"/>
      <c r="J92" s="1357"/>
      <c r="K92" s="1357"/>
      <c r="L92" s="1357"/>
      <c r="M92" s="1357"/>
      <c r="N92" s="1357"/>
      <c r="O92" s="1357"/>
      <c r="P92" s="1357"/>
      <c r="Q92" s="1357"/>
      <c r="R92" s="1357"/>
      <c r="S92" s="1357"/>
      <c r="T92" s="1357"/>
      <c r="U92" s="1357"/>
      <c r="V92" s="1357"/>
      <c r="W92" s="1357"/>
      <c r="X92" s="1357"/>
      <c r="Y92" s="1357"/>
      <c r="Z92" s="1357"/>
      <c r="AA92" s="1357"/>
    </row>
    <row r="93" spans="2:27" ht="17.25" customHeight="1" outlineLevel="1" x14ac:dyDescent="0.25">
      <c r="B93" s="540" t="s">
        <v>125</v>
      </c>
      <c r="C93" s="541"/>
      <c r="D93" s="541"/>
      <c r="E93" s="209"/>
      <c r="F93" s="209" t="s">
        <v>22</v>
      </c>
      <c r="G93" s="1357"/>
      <c r="H93" s="1357"/>
      <c r="I93" s="1357"/>
      <c r="J93" s="1357"/>
      <c r="K93" s="1357"/>
      <c r="L93" s="1357"/>
      <c r="M93" s="1357"/>
      <c r="N93" s="1357"/>
      <c r="O93" s="1357"/>
      <c r="P93" s="1357"/>
      <c r="Q93" s="1357"/>
      <c r="R93" s="1357"/>
      <c r="S93" s="1357"/>
      <c r="T93" s="1357"/>
      <c r="U93" s="1357"/>
      <c r="V93" s="1357"/>
      <c r="W93" s="1357"/>
      <c r="X93" s="1357"/>
      <c r="Y93" s="1357"/>
      <c r="Z93" s="1357"/>
      <c r="AA93" s="1357"/>
    </row>
    <row r="94" spans="2:27" ht="17.25" customHeight="1" outlineLevel="1" x14ac:dyDescent="0.25">
      <c r="B94" s="540" t="s">
        <v>126</v>
      </c>
      <c r="C94" s="541"/>
      <c r="D94" s="541"/>
      <c r="E94" s="209"/>
      <c r="F94" s="209" t="s">
        <v>22</v>
      </c>
      <c r="G94" s="1357"/>
      <c r="H94" s="1357"/>
      <c r="I94" s="1357"/>
      <c r="J94" s="1357"/>
      <c r="K94" s="1357"/>
      <c r="L94" s="1357"/>
      <c r="M94" s="1357"/>
      <c r="N94" s="1357"/>
      <c r="O94" s="1357"/>
      <c r="P94" s="1357"/>
      <c r="Q94" s="1357"/>
      <c r="R94" s="1357"/>
      <c r="S94" s="1357"/>
      <c r="T94" s="1357"/>
      <c r="U94" s="1357"/>
      <c r="V94" s="1357"/>
      <c r="W94" s="1357"/>
      <c r="X94" s="1357"/>
      <c r="Y94" s="1357"/>
      <c r="Z94" s="1357"/>
      <c r="AA94" s="1357"/>
    </row>
    <row r="95" spans="2:27" ht="17.25" customHeight="1" outlineLevel="1" x14ac:dyDescent="0.25">
      <c r="B95" s="540" t="s">
        <v>127</v>
      </c>
      <c r="C95" s="541"/>
      <c r="D95" s="541"/>
      <c r="E95" s="209"/>
      <c r="F95" s="209" t="s">
        <v>22</v>
      </c>
      <c r="G95" s="1357"/>
      <c r="H95" s="1357">
        <f>-(H207+H228+H249)</f>
        <v>0</v>
      </c>
      <c r="I95" s="1357">
        <f t="shared" ref="I95:AA95" si="25">-(I207+I228+I249)</f>
        <v>0</v>
      </c>
      <c r="J95" s="1357">
        <f t="shared" si="25"/>
        <v>0</v>
      </c>
      <c r="K95" s="1357">
        <f t="shared" si="25"/>
        <v>0</v>
      </c>
      <c r="L95" s="1357">
        <f t="shared" si="25"/>
        <v>0</v>
      </c>
      <c r="M95" s="1357">
        <f t="shared" si="25"/>
        <v>0</v>
      </c>
      <c r="N95" s="1357">
        <f t="shared" si="25"/>
        <v>0</v>
      </c>
      <c r="O95" s="1357">
        <f t="shared" si="25"/>
        <v>0</v>
      </c>
      <c r="P95" s="1357">
        <f t="shared" si="25"/>
        <v>0</v>
      </c>
      <c r="Q95" s="1357">
        <f t="shared" si="25"/>
        <v>0</v>
      </c>
      <c r="R95" s="1357">
        <f t="shared" si="25"/>
        <v>0</v>
      </c>
      <c r="S95" s="1357">
        <f t="shared" si="25"/>
        <v>0</v>
      </c>
      <c r="T95" s="1357">
        <f t="shared" si="25"/>
        <v>0</v>
      </c>
      <c r="U95" s="1357">
        <f t="shared" si="25"/>
        <v>0</v>
      </c>
      <c r="V95" s="1357">
        <f t="shared" si="25"/>
        <v>0</v>
      </c>
      <c r="W95" s="1357">
        <f t="shared" si="25"/>
        <v>0</v>
      </c>
      <c r="X95" s="1357">
        <f t="shared" si="25"/>
        <v>0</v>
      </c>
      <c r="Y95" s="1357">
        <f t="shared" si="25"/>
        <v>0</v>
      </c>
      <c r="Z95" s="1357">
        <f t="shared" si="25"/>
        <v>0</v>
      </c>
      <c r="AA95" s="1357">
        <f t="shared" si="25"/>
        <v>0</v>
      </c>
    </row>
    <row r="96" spans="2:27" ht="17.25" customHeight="1" outlineLevel="1" x14ac:dyDescent="0.25">
      <c r="B96" s="554" t="s">
        <v>128</v>
      </c>
      <c r="C96" s="551"/>
      <c r="D96" s="551"/>
      <c r="E96" s="184"/>
      <c r="F96" s="184" t="s">
        <v>22</v>
      </c>
      <c r="G96" s="1361"/>
      <c r="H96" s="1361"/>
      <c r="I96" s="1361"/>
      <c r="J96" s="1361"/>
      <c r="K96" s="1361"/>
      <c r="L96" s="1361"/>
      <c r="M96" s="1361"/>
      <c r="N96" s="1361"/>
      <c r="O96" s="1361"/>
      <c r="P96" s="1361"/>
      <c r="Q96" s="1361"/>
      <c r="R96" s="1361"/>
      <c r="S96" s="1361"/>
      <c r="T96" s="1361"/>
      <c r="U96" s="1361"/>
      <c r="V96" s="1361"/>
      <c r="W96" s="1361"/>
      <c r="X96" s="1361"/>
      <c r="Y96" s="1361"/>
      <c r="Z96" s="1361"/>
      <c r="AA96" s="1361"/>
    </row>
    <row r="97" spans="1:27" ht="17.25" customHeight="1" outlineLevel="1" x14ac:dyDescent="0.25">
      <c r="B97" s="540" t="s">
        <v>129</v>
      </c>
      <c r="C97" s="541"/>
      <c r="D97" s="541"/>
      <c r="E97" s="209"/>
      <c r="F97" s="209" t="s">
        <v>22</v>
      </c>
      <c r="G97" s="1357">
        <f>G87</f>
        <v>0</v>
      </c>
      <c r="H97" s="1357" t="e">
        <f>H90+H91+H95</f>
        <v>#VALUE!</v>
      </c>
      <c r="I97" s="1357" t="e">
        <f t="shared" ref="I97:AA97" si="26">I90+I91+I95</f>
        <v>#VALUE!</v>
      </c>
      <c r="J97" s="1357" t="e">
        <f t="shared" si="26"/>
        <v>#VALUE!</v>
      </c>
      <c r="K97" s="1357" t="e">
        <f t="shared" si="26"/>
        <v>#VALUE!</v>
      </c>
      <c r="L97" s="1357" t="e">
        <f t="shared" si="26"/>
        <v>#VALUE!</v>
      </c>
      <c r="M97" s="1357" t="e">
        <f t="shared" si="26"/>
        <v>#VALUE!</v>
      </c>
      <c r="N97" s="1357" t="e">
        <f t="shared" si="26"/>
        <v>#VALUE!</v>
      </c>
      <c r="O97" s="1357" t="e">
        <f t="shared" si="26"/>
        <v>#VALUE!</v>
      </c>
      <c r="P97" s="1357" t="e">
        <f t="shared" si="26"/>
        <v>#VALUE!</v>
      </c>
      <c r="Q97" s="1357" t="e">
        <f t="shared" si="26"/>
        <v>#VALUE!</v>
      </c>
      <c r="R97" s="1357" t="e">
        <f t="shared" si="26"/>
        <v>#VALUE!</v>
      </c>
      <c r="S97" s="1357" t="e">
        <f t="shared" si="26"/>
        <v>#VALUE!</v>
      </c>
      <c r="T97" s="1357" t="e">
        <f t="shared" si="26"/>
        <v>#VALUE!</v>
      </c>
      <c r="U97" s="1357" t="e">
        <f t="shared" si="26"/>
        <v>#VALUE!</v>
      </c>
      <c r="V97" s="1357" t="e">
        <f t="shared" si="26"/>
        <v>#VALUE!</v>
      </c>
      <c r="W97" s="1357" t="e">
        <f t="shared" si="26"/>
        <v>#VALUE!</v>
      </c>
      <c r="X97" s="1357" t="e">
        <f t="shared" si="26"/>
        <v>#VALUE!</v>
      </c>
      <c r="Y97" s="1357" t="e">
        <f t="shared" si="26"/>
        <v>#VALUE!</v>
      </c>
      <c r="Z97" s="1357" t="e">
        <f t="shared" si="26"/>
        <v>#VALUE!</v>
      </c>
      <c r="AA97" s="1357" t="e">
        <f t="shared" si="26"/>
        <v>#VALUE!</v>
      </c>
    </row>
    <row r="98" spans="1:27" ht="7.5" customHeight="1" outlineLevel="1" x14ac:dyDescent="0.25">
      <c r="B98" s="540"/>
      <c r="C98" s="541"/>
      <c r="D98" s="541"/>
      <c r="E98" s="209"/>
      <c r="F98" s="209"/>
      <c r="G98" s="1357"/>
      <c r="H98" s="1357"/>
      <c r="I98" s="1357"/>
      <c r="J98" s="1357"/>
      <c r="K98" s="1357"/>
      <c r="L98" s="1357"/>
      <c r="M98" s="1357"/>
      <c r="N98" s="1357"/>
      <c r="O98" s="1357"/>
      <c r="P98" s="1357"/>
      <c r="Q98" s="1357"/>
      <c r="R98" s="1357"/>
      <c r="S98" s="1357"/>
      <c r="T98" s="1357"/>
      <c r="U98" s="1357"/>
      <c r="V98" s="1357"/>
      <c r="W98" s="1357"/>
      <c r="X98" s="1357"/>
      <c r="Y98" s="1357"/>
      <c r="Z98" s="1357"/>
      <c r="AA98" s="1357"/>
    </row>
    <row r="99" spans="1:27" ht="17.25" customHeight="1" outlineLevel="1" x14ac:dyDescent="0.25">
      <c r="B99" s="540" t="s">
        <v>130</v>
      </c>
      <c r="C99" s="541"/>
      <c r="D99" s="541"/>
      <c r="E99" s="541"/>
      <c r="F99" s="541"/>
      <c r="G99" s="1357" t="e">
        <f>NPV($G$46,G97:AA97)</f>
        <v>#VALUE!</v>
      </c>
      <c r="H99" s="1357"/>
      <c r="I99" s="1357"/>
      <c r="J99" s="1357"/>
      <c r="K99" s="1357"/>
      <c r="L99" s="1357"/>
      <c r="M99" s="1357"/>
      <c r="N99" s="1357"/>
      <c r="O99" s="1357"/>
      <c r="P99" s="1357"/>
      <c r="Q99" s="1357"/>
      <c r="R99" s="1357"/>
      <c r="S99" s="1357"/>
      <c r="T99" s="1357"/>
      <c r="U99" s="1357"/>
      <c r="V99" s="1357"/>
      <c r="W99" s="1357"/>
      <c r="X99" s="1357"/>
      <c r="Y99" s="1357"/>
      <c r="Z99" s="1357"/>
      <c r="AA99" s="1357"/>
    </row>
    <row r="100" spans="1:27" ht="17.25" customHeight="1" outlineLevel="1" thickBot="1" x14ac:dyDescent="0.3">
      <c r="B100" s="571"/>
      <c r="C100" s="563"/>
      <c r="D100" s="563"/>
      <c r="E100" s="563"/>
      <c r="F100" s="563"/>
      <c r="G100" s="563"/>
      <c r="H100" s="563"/>
      <c r="I100" s="563"/>
      <c r="J100" s="563"/>
      <c r="K100" s="563"/>
      <c r="L100" s="563"/>
      <c r="M100" s="563"/>
      <c r="N100" s="563"/>
      <c r="O100" s="563"/>
      <c r="P100" s="563"/>
      <c r="Q100" s="563"/>
      <c r="R100" s="563"/>
      <c r="S100" s="563"/>
      <c r="T100" s="563"/>
      <c r="U100" s="563"/>
      <c r="V100" s="563"/>
      <c r="W100" s="563"/>
      <c r="X100" s="563"/>
      <c r="Y100" s="563"/>
      <c r="Z100" s="563"/>
      <c r="AA100" s="563"/>
    </row>
    <row r="101" spans="1:27" ht="17.25" customHeight="1" x14ac:dyDescent="0.25"/>
    <row r="102" spans="1:27" s="8" customFormat="1" ht="12.75" customHeight="1" x14ac:dyDescent="0.25">
      <c r="A102" s="44" t="s">
        <v>489</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2" t="s">
        <v>490</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4"/>
    </row>
    <row r="105" spans="1:27" ht="17.25" customHeight="1" x14ac:dyDescent="0.25">
      <c r="B105" s="5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6"/>
    </row>
    <row r="106" spans="1:27" x14ac:dyDescent="0.25">
      <c r="B106" s="577" t="s">
        <v>58</v>
      </c>
      <c r="C106" s="578"/>
      <c r="D106" s="578"/>
      <c r="E106" s="579"/>
      <c r="F106" s="578"/>
      <c r="G106" s="579">
        <v>0</v>
      </c>
      <c r="H106" s="579">
        <v>1</v>
      </c>
      <c r="I106" s="579">
        <v>2</v>
      </c>
      <c r="J106" s="579">
        <v>3</v>
      </c>
      <c r="K106" s="579">
        <v>4</v>
      </c>
      <c r="L106" s="579">
        <v>5</v>
      </c>
      <c r="M106" s="579">
        <v>6</v>
      </c>
      <c r="N106" s="579">
        <v>7</v>
      </c>
      <c r="O106" s="579">
        <v>8</v>
      </c>
      <c r="P106" s="579">
        <v>9</v>
      </c>
      <c r="Q106" s="579">
        <v>10</v>
      </c>
      <c r="R106" s="579">
        <v>11</v>
      </c>
      <c r="S106" s="579">
        <v>12</v>
      </c>
      <c r="T106" s="579">
        <v>13</v>
      </c>
      <c r="U106" s="579">
        <v>14</v>
      </c>
      <c r="V106" s="579">
        <v>15</v>
      </c>
      <c r="W106" s="579">
        <v>16</v>
      </c>
      <c r="X106" s="579">
        <v>17</v>
      </c>
      <c r="Y106" s="579">
        <v>18</v>
      </c>
      <c r="Z106" s="579">
        <v>19</v>
      </c>
      <c r="AA106" s="1058">
        <v>20</v>
      </c>
    </row>
    <row r="107" spans="1:27" x14ac:dyDescent="0.25">
      <c r="B107" s="5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6"/>
    </row>
    <row r="108" spans="1:27" x14ac:dyDescent="0.25">
      <c r="B108" s="575" t="s">
        <v>13</v>
      </c>
      <c r="C108" s="38"/>
      <c r="D108" s="38"/>
      <c r="E108" s="210"/>
      <c r="F108" s="38"/>
      <c r="G108" s="38"/>
      <c r="H108" s="580">
        <f>IF(H$16&gt;'III. Inputs, Renewable Energy'!$U$17,0, 'III. Inputs, Renewable Energy'!$U$217)</f>
        <v>1</v>
      </c>
      <c r="I108" s="580">
        <f>IF(I$16&gt;'III. Inputs, Renewable Energy'!$U$17,0, 'III. Inputs, Renewable Energy'!$U$217)</f>
        <v>1</v>
      </c>
      <c r="J108" s="580">
        <f>IF(J$16&gt;'III. Inputs, Renewable Energy'!$U$17,0, 'III. Inputs, Renewable Energy'!$U$217)</f>
        <v>1</v>
      </c>
      <c r="K108" s="580">
        <f>IF(K$16&gt;'III. Inputs, Renewable Energy'!$U$17,0, 'III. Inputs, Renewable Energy'!$U$217)</f>
        <v>1</v>
      </c>
      <c r="L108" s="580">
        <f>IF(L$16&gt;'III. Inputs, Renewable Energy'!$U$17,0, 'III. Inputs, Renewable Energy'!$U$217)</f>
        <v>1</v>
      </c>
      <c r="M108" s="580">
        <f>IF(M$16&gt;'III. Inputs, Renewable Energy'!$U$17,0, 'III. Inputs, Renewable Energy'!$U$217)</f>
        <v>1</v>
      </c>
      <c r="N108" s="580">
        <f>IF(N$16&gt;'III. Inputs, Renewable Energy'!$U$17,0, 'III. Inputs, Renewable Energy'!$U$217)</f>
        <v>1</v>
      </c>
      <c r="O108" s="580">
        <f>IF(O$16&gt;'III. Inputs, Renewable Energy'!$U$17,0, 'III. Inputs, Renewable Energy'!$U$217)</f>
        <v>1</v>
      </c>
      <c r="P108" s="580">
        <f>IF(P$16&gt;'III. Inputs, Renewable Energy'!$U$17,0, 'III. Inputs, Renewable Energy'!$U$217)</f>
        <v>1</v>
      </c>
      <c r="Q108" s="580">
        <f>IF(Q$16&gt;'III. Inputs, Renewable Energy'!$U$17,0, 'III. Inputs, Renewable Energy'!$U$217)</f>
        <v>1</v>
      </c>
      <c r="R108" s="580">
        <f>IF(R$16&gt;'III. Inputs, Renewable Energy'!$U$17,0, 'III. Inputs, Renewable Energy'!$U$217)</f>
        <v>1</v>
      </c>
      <c r="S108" s="580">
        <f>IF(S$16&gt;'III. Inputs, Renewable Energy'!$U$17,0, 'III. Inputs, Renewable Energy'!$U$217)</f>
        <v>1</v>
      </c>
      <c r="T108" s="580">
        <f>IF(T$16&gt;'III. Inputs, Renewable Energy'!$U$17,0, 'III. Inputs, Renewable Energy'!$U$217)</f>
        <v>1</v>
      </c>
      <c r="U108" s="580">
        <f>IF(U$16&gt;'III. Inputs, Renewable Energy'!$U$17,0, 'III. Inputs, Renewable Energy'!$U$217)</f>
        <v>1</v>
      </c>
      <c r="V108" s="580">
        <f>IF(V$16&gt;'III. Inputs, Renewable Energy'!$U$17,0, 'III. Inputs, Renewable Energy'!$U$217)</f>
        <v>1</v>
      </c>
      <c r="W108" s="580">
        <f>IF(W$16&gt;'III. Inputs, Renewable Energy'!$U$17,0, 'III. Inputs, Renewable Energy'!$U$217)</f>
        <v>1</v>
      </c>
      <c r="X108" s="580">
        <f>IF(X$16&gt;'III. Inputs, Renewable Energy'!$U$17,0, 'III. Inputs, Renewable Energy'!$U$217)</f>
        <v>1</v>
      </c>
      <c r="Y108" s="580">
        <f>IF(Y$16&gt;'III. Inputs, Renewable Energy'!$U$17,0, 'III. Inputs, Renewable Energy'!$U$217)</f>
        <v>1</v>
      </c>
      <c r="Z108" s="580">
        <f>IF(Z$16&gt;'III. Inputs, Renewable Energy'!$U$17,0, 'III. Inputs, Renewable Energy'!$U$217)</f>
        <v>1</v>
      </c>
      <c r="AA108" s="648">
        <f>IF(AA$16&gt;'III. Inputs, Renewable Energy'!$U$17,0, 'III. Inputs, Renewable Energy'!$U$217)</f>
        <v>1</v>
      </c>
    </row>
    <row r="109" spans="1:27" ht="4.5" customHeight="1" x14ac:dyDescent="0.25">
      <c r="B109" s="575"/>
      <c r="C109" s="38"/>
      <c r="D109" s="38"/>
      <c r="E109" s="210"/>
      <c r="F109" s="38"/>
      <c r="G109" s="38"/>
      <c r="H109" s="38"/>
      <c r="I109" s="38"/>
      <c r="J109" s="38"/>
      <c r="K109" s="38"/>
      <c r="L109" s="38"/>
      <c r="M109" s="38"/>
      <c r="N109" s="38"/>
      <c r="O109" s="38"/>
      <c r="P109" s="38"/>
      <c r="Q109" s="38"/>
      <c r="R109" s="38"/>
      <c r="S109" s="38"/>
      <c r="T109" s="38"/>
      <c r="U109" s="38"/>
      <c r="V109" s="38"/>
      <c r="W109" s="38"/>
      <c r="X109" s="38"/>
      <c r="Y109" s="38"/>
      <c r="Z109" s="38"/>
      <c r="AA109" s="576"/>
    </row>
    <row r="110" spans="1:27" x14ac:dyDescent="0.25">
      <c r="B110" s="575" t="s">
        <v>97</v>
      </c>
      <c r="C110" s="38"/>
      <c r="D110" s="38"/>
      <c r="E110" s="38"/>
      <c r="F110" s="210" t="s">
        <v>98</v>
      </c>
      <c r="G110" s="38"/>
      <c r="H110" s="581">
        <f>IF(H$16&gt;'III. Inputs, Renewable Energy'!$U$17,0, 'III. Inputs, Renewable Energy'!$U$14*'III. Inputs, Renewable Energy'!$U$215*'VI. LCOE, Ren. En. Grid Intconx'!$H$108)</f>
        <v>0</v>
      </c>
      <c r="I110" s="581">
        <f>IF(I$16&gt;'III. Inputs, Renewable Energy'!$U$17,0, 'III. Inputs, Renewable Energy'!$U$14*'III. Inputs, Renewable Energy'!$U$215*'VI. LCOE, Ren. En. Grid Intconx'!$H$108)</f>
        <v>0</v>
      </c>
      <c r="J110" s="581">
        <f>IF(J$16&gt;'III. Inputs, Renewable Energy'!$U$17,0, 'III. Inputs, Renewable Energy'!$U$14*'III. Inputs, Renewable Energy'!$U$215*'VI. LCOE, Ren. En. Grid Intconx'!$H$108)</f>
        <v>0</v>
      </c>
      <c r="K110" s="581">
        <f>IF(K$16&gt;'III. Inputs, Renewable Energy'!$U$17,0, 'III. Inputs, Renewable Energy'!$U$14*'III. Inputs, Renewable Energy'!$U$215*'VI. LCOE, Ren. En. Grid Intconx'!$H$108)</f>
        <v>0</v>
      </c>
      <c r="L110" s="581">
        <f>IF(L$16&gt;'III. Inputs, Renewable Energy'!$U$17,0, 'III. Inputs, Renewable Energy'!$U$14*'III. Inputs, Renewable Energy'!$U$215*'VI. LCOE, Ren. En. Grid Intconx'!$H$108)</f>
        <v>0</v>
      </c>
      <c r="M110" s="581">
        <f>IF(M$16&gt;'III. Inputs, Renewable Energy'!$U$17,0, 'III. Inputs, Renewable Energy'!$U$14*'III. Inputs, Renewable Energy'!$U$215*'VI. LCOE, Ren. En. Grid Intconx'!$H$108)</f>
        <v>0</v>
      </c>
      <c r="N110" s="581">
        <f>IF(N$16&gt;'III. Inputs, Renewable Energy'!$U$17,0, 'III. Inputs, Renewable Energy'!$U$14*'III. Inputs, Renewable Energy'!$U$215*'VI. LCOE, Ren. En. Grid Intconx'!$H$108)</f>
        <v>0</v>
      </c>
      <c r="O110" s="581">
        <f>IF(O$16&gt;'III. Inputs, Renewable Energy'!$U$17,0, 'III. Inputs, Renewable Energy'!$U$14*'III. Inputs, Renewable Energy'!$U$215*'VI. LCOE, Ren. En. Grid Intconx'!$H$108)</f>
        <v>0</v>
      </c>
      <c r="P110" s="581">
        <f>IF(P$16&gt;'III. Inputs, Renewable Energy'!$U$17,0, 'III. Inputs, Renewable Energy'!$U$14*'III. Inputs, Renewable Energy'!$U$215*'VI. LCOE, Ren. En. Grid Intconx'!$H$108)</f>
        <v>0</v>
      </c>
      <c r="Q110" s="581">
        <f>IF(Q$16&gt;'III. Inputs, Renewable Energy'!$U$17,0, 'III. Inputs, Renewable Energy'!$U$14*'III. Inputs, Renewable Energy'!$U$215*'VI. LCOE, Ren. En. Grid Intconx'!$H$108)</f>
        <v>0</v>
      </c>
      <c r="R110" s="581">
        <f>IF(R$16&gt;'III. Inputs, Renewable Energy'!$U$17,0, 'III. Inputs, Renewable Energy'!$U$14*'III. Inputs, Renewable Energy'!$U$215*'VI. LCOE, Ren. En. Grid Intconx'!$H$108)</f>
        <v>0</v>
      </c>
      <c r="S110" s="581">
        <f>IF(S$16&gt;'III. Inputs, Renewable Energy'!$U$17,0, 'III. Inputs, Renewable Energy'!$U$14*'III. Inputs, Renewable Energy'!$U$215*'VI. LCOE, Ren. En. Grid Intconx'!$H$108)</f>
        <v>0</v>
      </c>
      <c r="T110" s="581">
        <f>IF(T$16&gt;'III. Inputs, Renewable Energy'!$U$17,0, 'III. Inputs, Renewable Energy'!$U$14*'III. Inputs, Renewable Energy'!$U$215*'VI. LCOE, Ren. En. Grid Intconx'!$H$108)</f>
        <v>0</v>
      </c>
      <c r="U110" s="581">
        <f>IF(U$16&gt;'III. Inputs, Renewable Energy'!$U$17,0, 'III. Inputs, Renewable Energy'!$U$14*'III. Inputs, Renewable Energy'!$U$215*'VI. LCOE, Ren. En. Grid Intconx'!$H$108)</f>
        <v>0</v>
      </c>
      <c r="V110" s="581">
        <f>IF(V$16&gt;'III. Inputs, Renewable Energy'!$U$17,0, 'III. Inputs, Renewable Energy'!$U$14*'III. Inputs, Renewable Energy'!$U$215*'VI. LCOE, Ren. En. Grid Intconx'!$H$108)</f>
        <v>0</v>
      </c>
      <c r="W110" s="581">
        <f>IF(W$16&gt;'III. Inputs, Renewable Energy'!$U$17,0, 'III. Inputs, Renewable Energy'!$U$14*'III. Inputs, Renewable Energy'!$U$215*'VI. LCOE, Ren. En. Grid Intconx'!$H$108)</f>
        <v>0</v>
      </c>
      <c r="X110" s="581">
        <f>IF(X$16&gt;'III. Inputs, Renewable Energy'!$U$17,0, 'III. Inputs, Renewable Energy'!$U$14*'III. Inputs, Renewable Energy'!$U$215*'VI. LCOE, Ren. En. Grid Intconx'!$H$108)</f>
        <v>0</v>
      </c>
      <c r="Y110" s="581">
        <f>IF(Y$16&gt;'III. Inputs, Renewable Energy'!$U$17,0, 'III. Inputs, Renewable Energy'!$U$14*'III. Inputs, Renewable Energy'!$U$215*'VI. LCOE, Ren. En. Grid Intconx'!$H$108)</f>
        <v>0</v>
      </c>
      <c r="Z110" s="581">
        <f>IF(Z$16&gt;'III. Inputs, Renewable Energy'!$U$17,0, 'III. Inputs, Renewable Energy'!$U$14*'III. Inputs, Renewable Energy'!$U$215*'VI. LCOE, Ren. En. Grid Intconx'!$H$108)</f>
        <v>0</v>
      </c>
      <c r="AA110" s="1059">
        <f>IF(AA$16&gt;'III. Inputs, Renewable Energy'!$U$17,0, 'III. Inputs, Renewable Energy'!$U$14*'III. Inputs, Renewable Energy'!$U$215*'VI. LCOE, Ren. En. Grid Intconx'!$H$108)</f>
        <v>0</v>
      </c>
    </row>
    <row r="111" spans="1:27" ht="7.5" customHeight="1" x14ac:dyDescent="0.25">
      <c r="B111" s="575"/>
      <c r="C111" s="38"/>
      <c r="D111" s="38"/>
      <c r="E111" s="210"/>
      <c r="F111" s="38"/>
      <c r="G111" s="38"/>
      <c r="H111" s="38"/>
      <c r="I111" s="38"/>
      <c r="J111" s="38"/>
      <c r="K111" s="38"/>
      <c r="L111" s="38"/>
      <c r="M111" s="38"/>
      <c r="N111" s="38"/>
      <c r="O111" s="38"/>
      <c r="P111" s="38"/>
      <c r="Q111" s="38"/>
      <c r="R111" s="38"/>
      <c r="S111" s="38"/>
      <c r="T111" s="38"/>
      <c r="U111" s="38"/>
      <c r="V111" s="38"/>
      <c r="W111" s="38"/>
      <c r="X111" s="38"/>
      <c r="Y111" s="38"/>
      <c r="Z111" s="38"/>
      <c r="AA111" s="576"/>
    </row>
    <row r="112" spans="1:27" x14ac:dyDescent="0.25">
      <c r="B112" s="577" t="s">
        <v>99</v>
      </c>
      <c r="C112" s="39"/>
      <c r="D112" s="39"/>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1060"/>
    </row>
    <row r="113" spans="2:27" x14ac:dyDescent="0.25">
      <c r="B113" s="575"/>
      <c r="C113" s="38"/>
      <c r="D113" s="38"/>
      <c r="E113" s="210"/>
      <c r="F113" s="38"/>
      <c r="G113" s="38"/>
      <c r="H113" s="38"/>
      <c r="I113" s="38"/>
      <c r="J113" s="38"/>
      <c r="K113" s="38"/>
      <c r="L113" s="38"/>
      <c r="M113" s="38"/>
      <c r="N113" s="38"/>
      <c r="O113" s="38"/>
      <c r="P113" s="38"/>
      <c r="Q113" s="38"/>
      <c r="R113" s="38"/>
      <c r="S113" s="38"/>
      <c r="T113" s="38"/>
      <c r="U113" s="38"/>
      <c r="V113" s="38"/>
      <c r="W113" s="38"/>
      <c r="X113" s="38"/>
      <c r="Y113" s="38"/>
      <c r="Z113" s="38"/>
      <c r="AA113" s="576"/>
    </row>
    <row r="114" spans="2:27" x14ac:dyDescent="0.25">
      <c r="B114" s="575" t="s">
        <v>100</v>
      </c>
      <c r="C114" s="38"/>
      <c r="D114" s="38"/>
      <c r="E114" s="210"/>
      <c r="F114" s="210" t="s">
        <v>22</v>
      </c>
      <c r="G114" s="1369"/>
      <c r="H114" s="1395">
        <v>0</v>
      </c>
      <c r="I114" s="1395">
        <v>0</v>
      </c>
      <c r="J114" s="1395">
        <v>0</v>
      </c>
      <c r="K114" s="1395">
        <v>0</v>
      </c>
      <c r="L114" s="1395">
        <v>0</v>
      </c>
      <c r="M114" s="1395">
        <v>0</v>
      </c>
      <c r="N114" s="1395">
        <v>0</v>
      </c>
      <c r="O114" s="1395">
        <v>0</v>
      </c>
      <c r="P114" s="1395">
        <v>0</v>
      </c>
      <c r="Q114" s="1395">
        <v>0</v>
      </c>
      <c r="R114" s="1395">
        <v>0</v>
      </c>
      <c r="S114" s="1395">
        <v>0</v>
      </c>
      <c r="T114" s="1395">
        <v>0</v>
      </c>
      <c r="U114" s="1395">
        <v>0</v>
      </c>
      <c r="V114" s="1395">
        <v>0</v>
      </c>
      <c r="W114" s="1395">
        <v>0</v>
      </c>
      <c r="X114" s="1395">
        <v>0</v>
      </c>
      <c r="Y114" s="1395">
        <v>0</v>
      </c>
      <c r="Z114" s="1395">
        <v>0</v>
      </c>
      <c r="AA114" s="1395">
        <v>0</v>
      </c>
    </row>
    <row r="115" spans="2:27" x14ac:dyDescent="0.25">
      <c r="B115" s="575"/>
      <c r="C115" s="38"/>
      <c r="D115" s="38"/>
      <c r="E115" s="210"/>
      <c r="F115" s="210"/>
      <c r="G115" s="1369"/>
      <c r="H115" s="1370"/>
      <c r="I115" s="1370"/>
      <c r="J115" s="1370"/>
      <c r="K115" s="1370"/>
      <c r="L115" s="1370"/>
      <c r="M115" s="1370"/>
      <c r="N115" s="1370"/>
      <c r="O115" s="1370"/>
      <c r="P115" s="1370"/>
      <c r="Q115" s="1370"/>
      <c r="R115" s="1370"/>
      <c r="S115" s="1370"/>
      <c r="T115" s="1370"/>
      <c r="U115" s="1370"/>
      <c r="V115" s="1370"/>
      <c r="W115" s="1370"/>
      <c r="X115" s="1370"/>
      <c r="Y115" s="1370"/>
      <c r="Z115" s="1370"/>
      <c r="AA115" s="1371"/>
    </row>
    <row r="116" spans="2:27" x14ac:dyDescent="0.25">
      <c r="B116" s="575" t="s">
        <v>101</v>
      </c>
      <c r="C116" s="38"/>
      <c r="D116" s="38"/>
      <c r="E116" s="210"/>
      <c r="F116" s="210" t="s">
        <v>22</v>
      </c>
      <c r="G116" s="1369"/>
      <c r="H116" s="1369" t="e">
        <f>H379</f>
        <v>#VALUE!</v>
      </c>
      <c r="I116" s="1369" t="e">
        <f>I379</f>
        <v>#VALUE!</v>
      </c>
      <c r="J116" s="1369" t="e">
        <f t="shared" ref="J116:AA116" si="27">J379</f>
        <v>#VALUE!</v>
      </c>
      <c r="K116" s="1369" t="e">
        <f t="shared" si="27"/>
        <v>#VALUE!</v>
      </c>
      <c r="L116" s="1369" t="e">
        <f t="shared" si="27"/>
        <v>#VALUE!</v>
      </c>
      <c r="M116" s="1369" t="e">
        <f t="shared" si="27"/>
        <v>#VALUE!</v>
      </c>
      <c r="N116" s="1369" t="e">
        <f t="shared" si="27"/>
        <v>#VALUE!</v>
      </c>
      <c r="O116" s="1369" t="e">
        <f t="shared" si="27"/>
        <v>#VALUE!</v>
      </c>
      <c r="P116" s="1369" t="e">
        <f t="shared" si="27"/>
        <v>#VALUE!</v>
      </c>
      <c r="Q116" s="1369" t="e">
        <f t="shared" si="27"/>
        <v>#VALUE!</v>
      </c>
      <c r="R116" s="1369" t="e">
        <f t="shared" si="27"/>
        <v>#VALUE!</v>
      </c>
      <c r="S116" s="1369" t="e">
        <f t="shared" si="27"/>
        <v>#VALUE!</v>
      </c>
      <c r="T116" s="1369" t="e">
        <f t="shared" si="27"/>
        <v>#VALUE!</v>
      </c>
      <c r="U116" s="1369" t="e">
        <f t="shared" si="27"/>
        <v>#VALUE!</v>
      </c>
      <c r="V116" s="1369" t="e">
        <f t="shared" si="27"/>
        <v>#VALUE!</v>
      </c>
      <c r="W116" s="1369" t="e">
        <f t="shared" si="27"/>
        <v>#VALUE!</v>
      </c>
      <c r="X116" s="1369" t="e">
        <f t="shared" si="27"/>
        <v>#VALUE!</v>
      </c>
      <c r="Y116" s="1369" t="e">
        <f t="shared" si="27"/>
        <v>#VALUE!</v>
      </c>
      <c r="Z116" s="1369" t="e">
        <f t="shared" si="27"/>
        <v>#VALUE!</v>
      </c>
      <c r="AA116" s="1372" t="e">
        <f t="shared" si="27"/>
        <v>#VALUE!</v>
      </c>
    </row>
    <row r="117" spans="2:27" x14ac:dyDescent="0.25">
      <c r="B117" s="575"/>
      <c r="C117" s="38"/>
      <c r="D117" s="38"/>
      <c r="E117" s="210"/>
      <c r="F117" s="210"/>
      <c r="G117" s="1369"/>
      <c r="H117" s="1369"/>
      <c r="I117" s="1369"/>
      <c r="J117" s="1369"/>
      <c r="K117" s="1369"/>
      <c r="L117" s="1369"/>
      <c r="M117" s="1369"/>
      <c r="N117" s="1369"/>
      <c r="O117" s="1369"/>
      <c r="P117" s="1369"/>
      <c r="Q117" s="1369"/>
      <c r="R117" s="1369"/>
      <c r="S117" s="1369"/>
      <c r="T117" s="1369"/>
      <c r="U117" s="1369"/>
      <c r="V117" s="1369"/>
      <c r="W117" s="1369"/>
      <c r="X117" s="1369"/>
      <c r="Y117" s="1369"/>
      <c r="Z117" s="1369"/>
      <c r="AA117" s="1372"/>
    </row>
    <row r="118" spans="2:27" x14ac:dyDescent="0.25">
      <c r="B118" s="575" t="s">
        <v>256</v>
      </c>
      <c r="C118" s="38"/>
      <c r="D118" s="38"/>
      <c r="E118" s="210"/>
      <c r="F118" s="210" t="s">
        <v>22</v>
      </c>
      <c r="G118" s="1369"/>
      <c r="H118" s="1369">
        <f>H282</f>
        <v>0</v>
      </c>
      <c r="I118" s="1369">
        <f>I282</f>
        <v>0</v>
      </c>
      <c r="J118" s="1369">
        <f t="shared" ref="J118:AA118" si="28">J282</f>
        <v>0</v>
      </c>
      <c r="K118" s="1369">
        <f t="shared" si="28"/>
        <v>0</v>
      </c>
      <c r="L118" s="1369">
        <f t="shared" si="28"/>
        <v>0</v>
      </c>
      <c r="M118" s="1369">
        <f t="shared" si="28"/>
        <v>0</v>
      </c>
      <c r="N118" s="1369">
        <f t="shared" si="28"/>
        <v>0</v>
      </c>
      <c r="O118" s="1369">
        <f t="shared" si="28"/>
        <v>0</v>
      </c>
      <c r="P118" s="1369">
        <f t="shared" si="28"/>
        <v>0</v>
      </c>
      <c r="Q118" s="1369">
        <f t="shared" si="28"/>
        <v>0</v>
      </c>
      <c r="R118" s="1369">
        <f t="shared" si="28"/>
        <v>0</v>
      </c>
      <c r="S118" s="1369">
        <f t="shared" si="28"/>
        <v>0</v>
      </c>
      <c r="T118" s="1369">
        <f t="shared" si="28"/>
        <v>0</v>
      </c>
      <c r="U118" s="1369">
        <f t="shared" si="28"/>
        <v>0</v>
      </c>
      <c r="V118" s="1369">
        <f t="shared" si="28"/>
        <v>0</v>
      </c>
      <c r="W118" s="1369">
        <f t="shared" si="28"/>
        <v>0</v>
      </c>
      <c r="X118" s="1369">
        <f t="shared" si="28"/>
        <v>0</v>
      </c>
      <c r="Y118" s="1369">
        <f t="shared" si="28"/>
        <v>0</v>
      </c>
      <c r="Z118" s="1369">
        <f t="shared" si="28"/>
        <v>0</v>
      </c>
      <c r="AA118" s="1372">
        <f t="shared" si="28"/>
        <v>0</v>
      </c>
    </row>
    <row r="119" spans="2:27" x14ac:dyDescent="0.25">
      <c r="B119" s="575" t="s">
        <v>188</v>
      </c>
      <c r="C119" s="38"/>
      <c r="D119" s="38"/>
      <c r="E119" s="210"/>
      <c r="F119" s="210" t="s">
        <v>22</v>
      </c>
      <c r="G119" s="1369"/>
      <c r="H119" s="1369">
        <f>H303</f>
        <v>0</v>
      </c>
      <c r="I119" s="1369">
        <f>I303</f>
        <v>0</v>
      </c>
      <c r="J119" s="1369">
        <f t="shared" ref="J119:AA119" si="29">J303</f>
        <v>0</v>
      </c>
      <c r="K119" s="1369">
        <f t="shared" si="29"/>
        <v>0</v>
      </c>
      <c r="L119" s="1369">
        <f t="shared" si="29"/>
        <v>0</v>
      </c>
      <c r="M119" s="1369">
        <f t="shared" si="29"/>
        <v>0</v>
      </c>
      <c r="N119" s="1369">
        <f t="shared" si="29"/>
        <v>0</v>
      </c>
      <c r="O119" s="1369">
        <f t="shared" si="29"/>
        <v>0</v>
      </c>
      <c r="P119" s="1369">
        <f t="shared" si="29"/>
        <v>0</v>
      </c>
      <c r="Q119" s="1369">
        <f t="shared" si="29"/>
        <v>0</v>
      </c>
      <c r="R119" s="1369">
        <f t="shared" si="29"/>
        <v>0</v>
      </c>
      <c r="S119" s="1369">
        <f t="shared" si="29"/>
        <v>0</v>
      </c>
      <c r="T119" s="1369">
        <f t="shared" si="29"/>
        <v>0</v>
      </c>
      <c r="U119" s="1369">
        <f t="shared" si="29"/>
        <v>0</v>
      </c>
      <c r="V119" s="1369">
        <f t="shared" si="29"/>
        <v>0</v>
      </c>
      <c r="W119" s="1369">
        <f t="shared" si="29"/>
        <v>0</v>
      </c>
      <c r="X119" s="1369">
        <f t="shared" si="29"/>
        <v>0</v>
      </c>
      <c r="Y119" s="1369">
        <f t="shared" si="29"/>
        <v>0</v>
      </c>
      <c r="Z119" s="1369">
        <f t="shared" si="29"/>
        <v>0</v>
      </c>
      <c r="AA119" s="1372">
        <f t="shared" si="29"/>
        <v>0</v>
      </c>
    </row>
    <row r="120" spans="2:27" x14ac:dyDescent="0.25">
      <c r="B120" s="575" t="s">
        <v>189</v>
      </c>
      <c r="C120" s="38"/>
      <c r="D120" s="38"/>
      <c r="E120" s="210"/>
      <c r="F120" s="210" t="s">
        <v>22</v>
      </c>
      <c r="G120" s="1369"/>
      <c r="H120" s="1369">
        <f>H324</f>
        <v>0</v>
      </c>
      <c r="I120" s="1369">
        <f>I324</f>
        <v>0</v>
      </c>
      <c r="J120" s="1369">
        <f t="shared" ref="J120:AA120" si="30">J324</f>
        <v>0</v>
      </c>
      <c r="K120" s="1369">
        <f t="shared" si="30"/>
        <v>0</v>
      </c>
      <c r="L120" s="1369">
        <f t="shared" si="30"/>
        <v>0</v>
      </c>
      <c r="M120" s="1369">
        <f t="shared" si="30"/>
        <v>0</v>
      </c>
      <c r="N120" s="1369">
        <f t="shared" si="30"/>
        <v>0</v>
      </c>
      <c r="O120" s="1369">
        <f t="shared" si="30"/>
        <v>0</v>
      </c>
      <c r="P120" s="1369">
        <f t="shared" si="30"/>
        <v>0</v>
      </c>
      <c r="Q120" s="1369">
        <f t="shared" si="30"/>
        <v>0</v>
      </c>
      <c r="R120" s="1369">
        <f t="shared" si="30"/>
        <v>0</v>
      </c>
      <c r="S120" s="1369">
        <f t="shared" si="30"/>
        <v>0</v>
      </c>
      <c r="T120" s="1369">
        <f t="shared" si="30"/>
        <v>0</v>
      </c>
      <c r="U120" s="1369">
        <f t="shared" si="30"/>
        <v>0</v>
      </c>
      <c r="V120" s="1369">
        <f t="shared" si="30"/>
        <v>0</v>
      </c>
      <c r="W120" s="1369">
        <f t="shared" si="30"/>
        <v>0</v>
      </c>
      <c r="X120" s="1369">
        <f t="shared" si="30"/>
        <v>0</v>
      </c>
      <c r="Y120" s="1369">
        <f t="shared" si="30"/>
        <v>0</v>
      </c>
      <c r="Z120" s="1369">
        <f t="shared" si="30"/>
        <v>0</v>
      </c>
      <c r="AA120" s="1372">
        <f t="shared" si="30"/>
        <v>0</v>
      </c>
    </row>
    <row r="121" spans="2:27" x14ac:dyDescent="0.25">
      <c r="B121" s="575" t="s">
        <v>132</v>
      </c>
      <c r="C121" s="38"/>
      <c r="D121" s="38"/>
      <c r="E121" s="210"/>
      <c r="F121" s="210" t="s">
        <v>22</v>
      </c>
      <c r="G121" s="1369"/>
      <c r="H121" s="1369">
        <f>(H293+H314+H335)</f>
        <v>0</v>
      </c>
      <c r="I121" s="1369">
        <f>(I293+I314+I335)</f>
        <v>0</v>
      </c>
      <c r="J121" s="1369">
        <f t="shared" ref="J121:AA121" si="31">(J293+J314+J335)</f>
        <v>0</v>
      </c>
      <c r="K121" s="1369">
        <f t="shared" si="31"/>
        <v>0</v>
      </c>
      <c r="L121" s="1369">
        <f t="shared" si="31"/>
        <v>0</v>
      </c>
      <c r="M121" s="1369">
        <f t="shared" si="31"/>
        <v>0</v>
      </c>
      <c r="N121" s="1369">
        <f t="shared" si="31"/>
        <v>0</v>
      </c>
      <c r="O121" s="1369">
        <f t="shared" si="31"/>
        <v>0</v>
      </c>
      <c r="P121" s="1369">
        <f t="shared" si="31"/>
        <v>0</v>
      </c>
      <c r="Q121" s="1369">
        <f t="shared" si="31"/>
        <v>0</v>
      </c>
      <c r="R121" s="1369">
        <f t="shared" si="31"/>
        <v>0</v>
      </c>
      <c r="S121" s="1369">
        <f t="shared" si="31"/>
        <v>0</v>
      </c>
      <c r="T121" s="1369">
        <f t="shared" si="31"/>
        <v>0</v>
      </c>
      <c r="U121" s="1369">
        <f t="shared" si="31"/>
        <v>0</v>
      </c>
      <c r="V121" s="1369">
        <f t="shared" si="31"/>
        <v>0</v>
      </c>
      <c r="W121" s="1369">
        <f t="shared" si="31"/>
        <v>0</v>
      </c>
      <c r="X121" s="1369">
        <f t="shared" si="31"/>
        <v>0</v>
      </c>
      <c r="Y121" s="1369">
        <f t="shared" si="31"/>
        <v>0</v>
      </c>
      <c r="Z121" s="1369">
        <f t="shared" si="31"/>
        <v>0</v>
      </c>
      <c r="AA121" s="1372">
        <f t="shared" si="31"/>
        <v>0</v>
      </c>
    </row>
    <row r="122" spans="2:27" x14ac:dyDescent="0.25">
      <c r="B122" s="575" t="s">
        <v>190</v>
      </c>
      <c r="C122" s="38"/>
      <c r="D122" s="38"/>
      <c r="E122" s="210"/>
      <c r="F122" s="210" t="s">
        <v>22</v>
      </c>
      <c r="G122" s="1369"/>
      <c r="H122" s="1369">
        <f>(H315+H316)</f>
        <v>0</v>
      </c>
      <c r="I122" s="1369">
        <f>I316</f>
        <v>0</v>
      </c>
      <c r="J122" s="1369">
        <f t="shared" ref="J122:AA122" si="32">J316</f>
        <v>0</v>
      </c>
      <c r="K122" s="1369">
        <f t="shared" si="32"/>
        <v>0</v>
      </c>
      <c r="L122" s="1369">
        <f t="shared" si="32"/>
        <v>0</v>
      </c>
      <c r="M122" s="1369">
        <f t="shared" si="32"/>
        <v>0</v>
      </c>
      <c r="N122" s="1369">
        <f t="shared" si="32"/>
        <v>0</v>
      </c>
      <c r="O122" s="1369">
        <f t="shared" si="32"/>
        <v>0</v>
      </c>
      <c r="P122" s="1369">
        <f t="shared" si="32"/>
        <v>0</v>
      </c>
      <c r="Q122" s="1369">
        <f t="shared" si="32"/>
        <v>0</v>
      </c>
      <c r="R122" s="1369">
        <f t="shared" si="32"/>
        <v>0</v>
      </c>
      <c r="S122" s="1369">
        <f t="shared" si="32"/>
        <v>0</v>
      </c>
      <c r="T122" s="1369">
        <f t="shared" si="32"/>
        <v>0</v>
      </c>
      <c r="U122" s="1369">
        <f t="shared" si="32"/>
        <v>0</v>
      </c>
      <c r="V122" s="1369">
        <f t="shared" si="32"/>
        <v>0</v>
      </c>
      <c r="W122" s="1369">
        <f t="shared" si="32"/>
        <v>0</v>
      </c>
      <c r="X122" s="1369">
        <f t="shared" si="32"/>
        <v>0</v>
      </c>
      <c r="Y122" s="1369">
        <f t="shared" si="32"/>
        <v>0</v>
      </c>
      <c r="Z122" s="1369">
        <f t="shared" si="32"/>
        <v>0</v>
      </c>
      <c r="AA122" s="1372">
        <f t="shared" si="32"/>
        <v>0</v>
      </c>
    </row>
    <row r="123" spans="2:27" x14ac:dyDescent="0.25">
      <c r="B123" s="575" t="s">
        <v>134</v>
      </c>
      <c r="C123" s="38"/>
      <c r="D123" s="38"/>
      <c r="E123" s="210"/>
      <c r="F123" s="210" t="s">
        <v>22</v>
      </c>
      <c r="G123" s="1369"/>
      <c r="H123" s="1369">
        <f>(H345+H346)</f>
        <v>0</v>
      </c>
      <c r="I123" s="1369">
        <f>I346</f>
        <v>0</v>
      </c>
      <c r="J123" s="1369">
        <f t="shared" ref="J123:AA123" si="33">J346</f>
        <v>0</v>
      </c>
      <c r="K123" s="1369">
        <f t="shared" si="33"/>
        <v>0</v>
      </c>
      <c r="L123" s="1369">
        <f t="shared" si="33"/>
        <v>0</v>
      </c>
      <c r="M123" s="1369">
        <f t="shared" si="33"/>
        <v>0</v>
      </c>
      <c r="N123" s="1369">
        <f t="shared" si="33"/>
        <v>0</v>
      </c>
      <c r="O123" s="1369">
        <f t="shared" si="33"/>
        <v>0</v>
      </c>
      <c r="P123" s="1369">
        <f t="shared" si="33"/>
        <v>0</v>
      </c>
      <c r="Q123" s="1369">
        <f t="shared" si="33"/>
        <v>0</v>
      </c>
      <c r="R123" s="1369">
        <f t="shared" si="33"/>
        <v>0</v>
      </c>
      <c r="S123" s="1369">
        <f t="shared" si="33"/>
        <v>0</v>
      </c>
      <c r="T123" s="1369">
        <f t="shared" si="33"/>
        <v>0</v>
      </c>
      <c r="U123" s="1369">
        <f t="shared" si="33"/>
        <v>0</v>
      </c>
      <c r="V123" s="1369">
        <f t="shared" si="33"/>
        <v>0</v>
      </c>
      <c r="W123" s="1369">
        <f t="shared" si="33"/>
        <v>0</v>
      </c>
      <c r="X123" s="1369">
        <f t="shared" si="33"/>
        <v>0</v>
      </c>
      <c r="Y123" s="1369">
        <f t="shared" si="33"/>
        <v>0</v>
      </c>
      <c r="Z123" s="1369">
        <f t="shared" si="33"/>
        <v>0</v>
      </c>
      <c r="AA123" s="1372">
        <f t="shared" si="33"/>
        <v>0</v>
      </c>
    </row>
    <row r="124" spans="2:27" x14ac:dyDescent="0.25">
      <c r="B124" s="575"/>
      <c r="C124" s="38"/>
      <c r="D124" s="38"/>
      <c r="E124" s="210"/>
      <c r="F124" s="210"/>
      <c r="G124" s="1369"/>
      <c r="H124" s="1369"/>
      <c r="I124" s="1369"/>
      <c r="J124" s="1369"/>
      <c r="K124" s="1369"/>
      <c r="L124" s="1369"/>
      <c r="M124" s="1369"/>
      <c r="N124" s="1369"/>
      <c r="O124" s="1369"/>
      <c r="P124" s="1369"/>
      <c r="Q124" s="1369"/>
      <c r="R124" s="1369"/>
      <c r="S124" s="1369"/>
      <c r="T124" s="1369"/>
      <c r="U124" s="1369"/>
      <c r="V124" s="1369"/>
      <c r="W124" s="1369"/>
      <c r="X124" s="1369"/>
      <c r="Y124" s="1369"/>
      <c r="Z124" s="1369"/>
      <c r="AA124" s="1372"/>
    </row>
    <row r="125" spans="2:27" x14ac:dyDescent="0.25">
      <c r="B125" s="575"/>
      <c r="C125" s="38"/>
      <c r="D125" s="38"/>
      <c r="E125" s="210"/>
      <c r="F125" s="210"/>
      <c r="G125" s="1369"/>
      <c r="H125" s="1369"/>
      <c r="I125" s="1369"/>
      <c r="J125" s="1369"/>
      <c r="K125" s="1369"/>
      <c r="L125" s="1369"/>
      <c r="M125" s="1369"/>
      <c r="N125" s="1369"/>
      <c r="O125" s="1369"/>
      <c r="P125" s="1369"/>
      <c r="Q125" s="1369"/>
      <c r="R125" s="1369"/>
      <c r="S125" s="1369"/>
      <c r="T125" s="1369"/>
      <c r="U125" s="1369"/>
      <c r="V125" s="1369"/>
      <c r="W125" s="1369"/>
      <c r="X125" s="1369"/>
      <c r="Y125" s="1369"/>
      <c r="Z125" s="1369"/>
      <c r="AA125" s="1372"/>
    </row>
    <row r="126" spans="2:27" x14ac:dyDescent="0.25">
      <c r="B126" s="582" t="s">
        <v>493</v>
      </c>
      <c r="C126" s="38"/>
      <c r="D126" s="38"/>
      <c r="E126" s="210"/>
      <c r="F126" s="210"/>
      <c r="G126" s="1369"/>
      <c r="H126" s="1369"/>
      <c r="I126" s="1369"/>
      <c r="J126" s="1369"/>
      <c r="K126" s="1369"/>
      <c r="L126" s="1369"/>
      <c r="M126" s="1369"/>
      <c r="N126" s="1369"/>
      <c r="O126" s="1369"/>
      <c r="P126" s="1369"/>
      <c r="Q126" s="1369"/>
      <c r="R126" s="1369"/>
      <c r="S126" s="1369"/>
      <c r="T126" s="1369"/>
      <c r="U126" s="1369"/>
      <c r="V126" s="1369"/>
      <c r="W126" s="1369"/>
      <c r="X126" s="1369"/>
      <c r="Y126" s="1369"/>
      <c r="Z126" s="1369"/>
      <c r="AA126" s="1372"/>
    </row>
    <row r="127" spans="2:27" x14ac:dyDescent="0.25">
      <c r="B127" s="575"/>
      <c r="C127" s="38"/>
      <c r="D127" s="38"/>
      <c r="E127" s="210"/>
      <c r="F127" s="210"/>
      <c r="G127" s="1369"/>
      <c r="H127" s="1369"/>
      <c r="I127" s="1369"/>
      <c r="J127" s="1369"/>
      <c r="K127" s="1369"/>
      <c r="L127" s="1369"/>
      <c r="M127" s="1369"/>
      <c r="N127" s="1369"/>
      <c r="O127" s="1369"/>
      <c r="P127" s="1369"/>
      <c r="Q127" s="1369"/>
      <c r="R127" s="1369"/>
      <c r="S127" s="1369"/>
      <c r="T127" s="1369"/>
      <c r="U127" s="1369"/>
      <c r="V127" s="1369"/>
      <c r="W127" s="1369"/>
      <c r="X127" s="1369"/>
      <c r="Y127" s="1369"/>
      <c r="Z127" s="1369"/>
      <c r="AA127" s="1372"/>
    </row>
    <row r="128" spans="2:27" x14ac:dyDescent="0.25">
      <c r="B128" s="575" t="str">
        <f>B114</f>
        <v>Operations &amp; Maintenance Expenses</v>
      </c>
      <c r="C128" s="38"/>
      <c r="D128" s="38"/>
      <c r="E128" s="210"/>
      <c r="F128" s="210" t="s">
        <v>22</v>
      </c>
      <c r="G128" s="1369"/>
      <c r="H128" s="1369">
        <f>-H114</f>
        <v>0</v>
      </c>
      <c r="I128" s="1369">
        <f>-I114</f>
        <v>0</v>
      </c>
      <c r="J128" s="1369">
        <f t="shared" ref="J128:AA128" si="34">-J114</f>
        <v>0</v>
      </c>
      <c r="K128" s="1369">
        <f t="shared" si="34"/>
        <v>0</v>
      </c>
      <c r="L128" s="1369">
        <f t="shared" si="34"/>
        <v>0</v>
      </c>
      <c r="M128" s="1369">
        <f t="shared" si="34"/>
        <v>0</v>
      </c>
      <c r="N128" s="1369">
        <f t="shared" si="34"/>
        <v>0</v>
      </c>
      <c r="O128" s="1369">
        <f t="shared" si="34"/>
        <v>0</v>
      </c>
      <c r="P128" s="1369">
        <f t="shared" si="34"/>
        <v>0</v>
      </c>
      <c r="Q128" s="1369">
        <f t="shared" si="34"/>
        <v>0</v>
      </c>
      <c r="R128" s="1369">
        <f t="shared" si="34"/>
        <v>0</v>
      </c>
      <c r="S128" s="1369">
        <f t="shared" si="34"/>
        <v>0</v>
      </c>
      <c r="T128" s="1369">
        <f t="shared" si="34"/>
        <v>0</v>
      </c>
      <c r="U128" s="1369">
        <f t="shared" si="34"/>
        <v>0</v>
      </c>
      <c r="V128" s="1369">
        <f t="shared" si="34"/>
        <v>0</v>
      </c>
      <c r="W128" s="1369">
        <f t="shared" si="34"/>
        <v>0</v>
      </c>
      <c r="X128" s="1369">
        <f t="shared" si="34"/>
        <v>0</v>
      </c>
      <c r="Y128" s="1369">
        <f t="shared" si="34"/>
        <v>0</v>
      </c>
      <c r="Z128" s="1369">
        <f t="shared" si="34"/>
        <v>0</v>
      </c>
      <c r="AA128" s="1372">
        <f t="shared" si="34"/>
        <v>0</v>
      </c>
    </row>
    <row r="129" spans="2:27" x14ac:dyDescent="0.25">
      <c r="B129" s="575" t="str">
        <f>B121</f>
        <v xml:space="preserve">Front-end Fees </v>
      </c>
      <c r="C129" s="38"/>
      <c r="D129" s="38"/>
      <c r="E129" s="210"/>
      <c r="F129" s="210" t="s">
        <v>22</v>
      </c>
      <c r="G129" s="1369"/>
      <c r="H129" s="1369">
        <f t="shared" ref="H129:AA131" si="35">-H121</f>
        <v>0</v>
      </c>
      <c r="I129" s="1369">
        <f t="shared" si="35"/>
        <v>0</v>
      </c>
      <c r="J129" s="1369">
        <f t="shared" si="35"/>
        <v>0</v>
      </c>
      <c r="K129" s="1369">
        <f t="shared" si="35"/>
        <v>0</v>
      </c>
      <c r="L129" s="1369">
        <f t="shared" si="35"/>
        <v>0</v>
      </c>
      <c r="M129" s="1369">
        <f t="shared" si="35"/>
        <v>0</v>
      </c>
      <c r="N129" s="1369">
        <f t="shared" si="35"/>
        <v>0</v>
      </c>
      <c r="O129" s="1369">
        <f t="shared" si="35"/>
        <v>0</v>
      </c>
      <c r="P129" s="1369">
        <f t="shared" si="35"/>
        <v>0</v>
      </c>
      <c r="Q129" s="1369">
        <f t="shared" si="35"/>
        <v>0</v>
      </c>
      <c r="R129" s="1369">
        <f t="shared" si="35"/>
        <v>0</v>
      </c>
      <c r="S129" s="1369">
        <f t="shared" si="35"/>
        <v>0</v>
      </c>
      <c r="T129" s="1369">
        <f t="shared" si="35"/>
        <v>0</v>
      </c>
      <c r="U129" s="1369">
        <f t="shared" si="35"/>
        <v>0</v>
      </c>
      <c r="V129" s="1369">
        <f t="shared" si="35"/>
        <v>0</v>
      </c>
      <c r="W129" s="1369">
        <f t="shared" si="35"/>
        <v>0</v>
      </c>
      <c r="X129" s="1369">
        <f t="shared" si="35"/>
        <v>0</v>
      </c>
      <c r="Y129" s="1369">
        <f t="shared" si="35"/>
        <v>0</v>
      </c>
      <c r="Z129" s="1369">
        <f t="shared" si="35"/>
        <v>0</v>
      </c>
      <c r="AA129" s="1372">
        <f t="shared" si="35"/>
        <v>0</v>
      </c>
    </row>
    <row r="130" spans="2:27" x14ac:dyDescent="0.25">
      <c r="B130" s="575" t="str">
        <f>B122</f>
        <v xml:space="preserve">Public Guarantee Fees </v>
      </c>
      <c r="C130" s="38"/>
      <c r="D130" s="38"/>
      <c r="E130" s="210"/>
      <c r="F130" s="210" t="s">
        <v>22</v>
      </c>
      <c r="G130" s="1369"/>
      <c r="H130" s="1369">
        <f t="shared" si="35"/>
        <v>0</v>
      </c>
      <c r="I130" s="1369">
        <f t="shared" si="35"/>
        <v>0</v>
      </c>
      <c r="J130" s="1369">
        <f t="shared" si="35"/>
        <v>0</v>
      </c>
      <c r="K130" s="1369">
        <f t="shared" si="35"/>
        <v>0</v>
      </c>
      <c r="L130" s="1369">
        <f t="shared" si="35"/>
        <v>0</v>
      </c>
      <c r="M130" s="1369">
        <f t="shared" si="35"/>
        <v>0</v>
      </c>
      <c r="N130" s="1369">
        <f t="shared" si="35"/>
        <v>0</v>
      </c>
      <c r="O130" s="1369">
        <f t="shared" si="35"/>
        <v>0</v>
      </c>
      <c r="P130" s="1369">
        <f t="shared" si="35"/>
        <v>0</v>
      </c>
      <c r="Q130" s="1369">
        <f t="shared" si="35"/>
        <v>0</v>
      </c>
      <c r="R130" s="1369">
        <f t="shared" si="35"/>
        <v>0</v>
      </c>
      <c r="S130" s="1369">
        <f t="shared" si="35"/>
        <v>0</v>
      </c>
      <c r="T130" s="1369">
        <f t="shared" si="35"/>
        <v>0</v>
      </c>
      <c r="U130" s="1369">
        <f t="shared" si="35"/>
        <v>0</v>
      </c>
      <c r="V130" s="1369">
        <f t="shared" si="35"/>
        <v>0</v>
      </c>
      <c r="W130" s="1369">
        <f t="shared" si="35"/>
        <v>0</v>
      </c>
      <c r="X130" s="1369">
        <f t="shared" si="35"/>
        <v>0</v>
      </c>
      <c r="Y130" s="1369">
        <f t="shared" si="35"/>
        <v>0</v>
      </c>
      <c r="Z130" s="1369">
        <f t="shared" si="35"/>
        <v>0</v>
      </c>
      <c r="AA130" s="1372">
        <f t="shared" si="35"/>
        <v>0</v>
      </c>
    </row>
    <row r="131" spans="2:27" x14ac:dyDescent="0.25">
      <c r="B131" s="575" t="str">
        <f>B123</f>
        <v>Political Risk Insurance - Fees &amp; Annual Premium Payments</v>
      </c>
      <c r="C131" s="38"/>
      <c r="D131" s="38"/>
      <c r="E131" s="210"/>
      <c r="F131" s="210" t="s">
        <v>22</v>
      </c>
      <c r="G131" s="1369"/>
      <c r="H131" s="1369">
        <f t="shared" si="35"/>
        <v>0</v>
      </c>
      <c r="I131" s="1369">
        <f t="shared" si="35"/>
        <v>0</v>
      </c>
      <c r="J131" s="1369">
        <f t="shared" si="35"/>
        <v>0</v>
      </c>
      <c r="K131" s="1369">
        <f t="shared" si="35"/>
        <v>0</v>
      </c>
      <c r="L131" s="1369">
        <f t="shared" si="35"/>
        <v>0</v>
      </c>
      <c r="M131" s="1369">
        <f t="shared" si="35"/>
        <v>0</v>
      </c>
      <c r="N131" s="1369">
        <f t="shared" si="35"/>
        <v>0</v>
      </c>
      <c r="O131" s="1369">
        <f t="shared" si="35"/>
        <v>0</v>
      </c>
      <c r="P131" s="1369">
        <f t="shared" si="35"/>
        <v>0</v>
      </c>
      <c r="Q131" s="1369">
        <f t="shared" si="35"/>
        <v>0</v>
      </c>
      <c r="R131" s="1369">
        <f t="shared" si="35"/>
        <v>0</v>
      </c>
      <c r="S131" s="1369">
        <f t="shared" si="35"/>
        <v>0</v>
      </c>
      <c r="T131" s="1369">
        <f t="shared" si="35"/>
        <v>0</v>
      </c>
      <c r="U131" s="1369">
        <f t="shared" si="35"/>
        <v>0</v>
      </c>
      <c r="V131" s="1369">
        <f t="shared" si="35"/>
        <v>0</v>
      </c>
      <c r="W131" s="1369">
        <f t="shared" si="35"/>
        <v>0</v>
      </c>
      <c r="X131" s="1369">
        <f t="shared" si="35"/>
        <v>0</v>
      </c>
      <c r="Y131" s="1369">
        <f t="shared" si="35"/>
        <v>0</v>
      </c>
      <c r="Z131" s="1369">
        <f t="shared" si="35"/>
        <v>0</v>
      </c>
      <c r="AA131" s="1372">
        <f t="shared" si="35"/>
        <v>0</v>
      </c>
    </row>
    <row r="132" spans="2:27" x14ac:dyDescent="0.25">
      <c r="B132" s="575" t="s">
        <v>102</v>
      </c>
      <c r="C132" s="38"/>
      <c r="D132" s="38"/>
      <c r="E132" s="210"/>
      <c r="F132" s="210" t="s">
        <v>22</v>
      </c>
      <c r="G132" s="1369"/>
      <c r="H132" s="1369">
        <f>-(H284+H305+H326)</f>
        <v>0</v>
      </c>
      <c r="I132" s="1369">
        <f t="shared" ref="I132:AA132" si="36">-(I284+I305+I326)</f>
        <v>0</v>
      </c>
      <c r="J132" s="1369">
        <f t="shared" si="36"/>
        <v>0</v>
      </c>
      <c r="K132" s="1369">
        <f t="shared" si="36"/>
        <v>0</v>
      </c>
      <c r="L132" s="1369">
        <f t="shared" si="36"/>
        <v>0</v>
      </c>
      <c r="M132" s="1369">
        <f t="shared" si="36"/>
        <v>0</v>
      </c>
      <c r="N132" s="1369">
        <f t="shared" si="36"/>
        <v>0</v>
      </c>
      <c r="O132" s="1369">
        <f t="shared" si="36"/>
        <v>0</v>
      </c>
      <c r="P132" s="1369">
        <f t="shared" si="36"/>
        <v>0</v>
      </c>
      <c r="Q132" s="1369">
        <f t="shared" si="36"/>
        <v>0</v>
      </c>
      <c r="R132" s="1369">
        <f t="shared" si="36"/>
        <v>0</v>
      </c>
      <c r="S132" s="1369">
        <f t="shared" si="36"/>
        <v>0</v>
      </c>
      <c r="T132" s="1369">
        <f t="shared" si="36"/>
        <v>0</v>
      </c>
      <c r="U132" s="1369">
        <f t="shared" si="36"/>
        <v>0</v>
      </c>
      <c r="V132" s="1369">
        <f t="shared" si="36"/>
        <v>0</v>
      </c>
      <c r="W132" s="1369">
        <f t="shared" si="36"/>
        <v>0</v>
      </c>
      <c r="X132" s="1369">
        <f t="shared" si="36"/>
        <v>0</v>
      </c>
      <c r="Y132" s="1369">
        <f t="shared" si="36"/>
        <v>0</v>
      </c>
      <c r="Z132" s="1369">
        <f t="shared" si="36"/>
        <v>0</v>
      </c>
      <c r="AA132" s="1372">
        <f t="shared" si="36"/>
        <v>0</v>
      </c>
    </row>
    <row r="133" spans="2:27" x14ac:dyDescent="0.25">
      <c r="B133" s="583" t="s">
        <v>103</v>
      </c>
      <c r="C133" s="39"/>
      <c r="D133" s="39"/>
      <c r="E133" s="212"/>
      <c r="F133" s="212" t="s">
        <v>22</v>
      </c>
      <c r="G133" s="1373"/>
      <c r="H133" s="1373" t="e">
        <f>(H114+H116+H121+H122+H123+H118+H119+H120)*'III. Inputs, Renewable Energy'!$U$18</f>
        <v>#VALUE!</v>
      </c>
      <c r="I133" s="1373" t="e">
        <f>(I114+I116+I121+I122+I123+I118+I119+I120)*'III. Inputs, Renewable Energy'!$U$18</f>
        <v>#VALUE!</v>
      </c>
      <c r="J133" s="1373" t="e">
        <f>(J114+J116+J121+J122+J123+J118+J119+J120)*'III. Inputs, Renewable Energy'!$U$18</f>
        <v>#VALUE!</v>
      </c>
      <c r="K133" s="1373" t="e">
        <f>(K114+K116+K121+K122+K123+K118+K119+K120)*'III. Inputs, Renewable Energy'!$U$18</f>
        <v>#VALUE!</v>
      </c>
      <c r="L133" s="1373" t="e">
        <f>(L114+L116+L121+L122+L123+L118+L119+L120)*'III. Inputs, Renewable Energy'!$U$18</f>
        <v>#VALUE!</v>
      </c>
      <c r="M133" s="1373" t="e">
        <f>(M114+M116+M121+M122+M123+M118+M119+M120)*'III. Inputs, Renewable Energy'!$U$18</f>
        <v>#VALUE!</v>
      </c>
      <c r="N133" s="1373" t="e">
        <f>(N114+N116+N121+N122+N123+N118+N119+N120)*'III. Inputs, Renewable Energy'!$U$18</f>
        <v>#VALUE!</v>
      </c>
      <c r="O133" s="1373" t="e">
        <f>(O114+O116+O121+O122+O123+O118+O119+O120)*'III. Inputs, Renewable Energy'!$U$18</f>
        <v>#VALUE!</v>
      </c>
      <c r="P133" s="1373" t="e">
        <f>(P114+P116+P121+P122+P123+P118+P119+P120)*'III. Inputs, Renewable Energy'!$U$18</f>
        <v>#VALUE!</v>
      </c>
      <c r="Q133" s="1373" t="e">
        <f>(Q114+Q116+Q121+Q122+Q123+Q118+Q119+Q120)*'III. Inputs, Renewable Energy'!$U$18</f>
        <v>#VALUE!</v>
      </c>
      <c r="R133" s="1373" t="e">
        <f>(R114+R116+R121+R122+R123+R118+R119+R120)*'III. Inputs, Renewable Energy'!$U$18</f>
        <v>#VALUE!</v>
      </c>
      <c r="S133" s="1373" t="e">
        <f>(S114+S116+S121+S122+S123+S118+S119+S120)*'III. Inputs, Renewable Energy'!$U$18</f>
        <v>#VALUE!</v>
      </c>
      <c r="T133" s="1373" t="e">
        <f>(T114+T116+T121+T122+T123+T118+T119+T120)*'III. Inputs, Renewable Energy'!$U$18</f>
        <v>#VALUE!</v>
      </c>
      <c r="U133" s="1373" t="e">
        <f>(U114+U116+U121+U122+U123+U118+U119+U120)*'III. Inputs, Renewable Energy'!$U$18</f>
        <v>#VALUE!</v>
      </c>
      <c r="V133" s="1373" t="e">
        <f>(V114+V116+V121+V122+V123+V118+V119+V120)*'III. Inputs, Renewable Energy'!$U$18</f>
        <v>#VALUE!</v>
      </c>
      <c r="W133" s="1373" t="e">
        <f>(W114+W116+W121+W122+W123+W118+W119+W120)*'III. Inputs, Renewable Energy'!$U$18</f>
        <v>#VALUE!</v>
      </c>
      <c r="X133" s="1373" t="e">
        <f>(X114+X116+X121+X122+X123+X118+X119+X120)*'III. Inputs, Renewable Energy'!$U$18</f>
        <v>#VALUE!</v>
      </c>
      <c r="Y133" s="1373" t="e">
        <f>(Y114+Y116+Y121+Y122+Y123+Y118+Y119+Y120)*'III. Inputs, Renewable Energy'!$U$18</f>
        <v>#VALUE!</v>
      </c>
      <c r="Z133" s="1373" t="e">
        <f>(Z114+Z116+Z121+Z122+Z123+Z118+Z119+Z120)*'III. Inputs, Renewable Energy'!$U$18</f>
        <v>#VALUE!</v>
      </c>
      <c r="AA133" s="1374" t="e">
        <f>(AA114+AA116+AA121+AA122+AA123+AA118+AA119+AA120)*'III. Inputs, Renewable Energy'!$U$18</f>
        <v>#VALUE!</v>
      </c>
    </row>
    <row r="134" spans="2:27" x14ac:dyDescent="0.25">
      <c r="B134" s="575" t="s">
        <v>104</v>
      </c>
      <c r="C134" s="38"/>
      <c r="D134" s="38"/>
      <c r="E134" s="210"/>
      <c r="F134" s="210" t="s">
        <v>22</v>
      </c>
      <c r="G134" s="1369">
        <f>IF('III. Inputs, Renewable Energy'!U243=0,0,-('III. Inputs, Renewable Energy'!U242+('III. Inputs, Renewable Energy'!U238*'III. Inputs, Renewable Energy'!U240*'III. Inputs, Renewable Energy'!U241))*('III. Inputs, Renewable Energy'!U14/'III. Inputs, Renewable Energy'!U243)*'III. Inputs, Renewable Energy'!$V$28)</f>
        <v>0</v>
      </c>
      <c r="H134" s="1369" t="e">
        <f>SUM(H128:H133)</f>
        <v>#VALUE!</v>
      </c>
      <c r="I134" s="1369" t="e">
        <f>SUM(I128:I133)</f>
        <v>#VALUE!</v>
      </c>
      <c r="J134" s="1369" t="e">
        <f t="shared" ref="J134:AA134" si="37">SUM(J128:J133)</f>
        <v>#VALUE!</v>
      </c>
      <c r="K134" s="1369" t="e">
        <f t="shared" si="37"/>
        <v>#VALUE!</v>
      </c>
      <c r="L134" s="1369" t="e">
        <f t="shared" si="37"/>
        <v>#VALUE!</v>
      </c>
      <c r="M134" s="1369" t="e">
        <f t="shared" si="37"/>
        <v>#VALUE!</v>
      </c>
      <c r="N134" s="1369" t="e">
        <f t="shared" si="37"/>
        <v>#VALUE!</v>
      </c>
      <c r="O134" s="1369" t="e">
        <f t="shared" si="37"/>
        <v>#VALUE!</v>
      </c>
      <c r="P134" s="1369" t="e">
        <f t="shared" si="37"/>
        <v>#VALUE!</v>
      </c>
      <c r="Q134" s="1369" t="e">
        <f t="shared" si="37"/>
        <v>#VALUE!</v>
      </c>
      <c r="R134" s="1369" t="e">
        <f t="shared" si="37"/>
        <v>#VALUE!</v>
      </c>
      <c r="S134" s="1369" t="e">
        <f t="shared" si="37"/>
        <v>#VALUE!</v>
      </c>
      <c r="T134" s="1369" t="e">
        <f t="shared" si="37"/>
        <v>#VALUE!</v>
      </c>
      <c r="U134" s="1369" t="e">
        <f t="shared" si="37"/>
        <v>#VALUE!</v>
      </c>
      <c r="V134" s="1369" t="e">
        <f t="shared" si="37"/>
        <v>#VALUE!</v>
      </c>
      <c r="W134" s="1369" t="e">
        <f t="shared" si="37"/>
        <v>#VALUE!</v>
      </c>
      <c r="X134" s="1369" t="e">
        <f t="shared" si="37"/>
        <v>#VALUE!</v>
      </c>
      <c r="Y134" s="1369" t="e">
        <f t="shared" si="37"/>
        <v>#VALUE!</v>
      </c>
      <c r="Z134" s="1369" t="e">
        <f t="shared" si="37"/>
        <v>#VALUE!</v>
      </c>
      <c r="AA134" s="1372" t="e">
        <f t="shared" si="37"/>
        <v>#VALUE!</v>
      </c>
    </row>
    <row r="135" spans="2:27" x14ac:dyDescent="0.25">
      <c r="B135" s="575"/>
      <c r="C135" s="38"/>
      <c r="D135" s="38"/>
      <c r="E135" s="210"/>
      <c r="F135" s="38"/>
      <c r="G135" s="1369"/>
      <c r="H135" s="1369"/>
      <c r="I135" s="1369"/>
      <c r="J135" s="1369"/>
      <c r="K135" s="1369"/>
      <c r="L135" s="1369"/>
      <c r="M135" s="1369"/>
      <c r="N135" s="1369"/>
      <c r="O135" s="1369"/>
      <c r="P135" s="1369"/>
      <c r="Q135" s="1369"/>
      <c r="R135" s="1369"/>
      <c r="S135" s="1369"/>
      <c r="T135" s="1369"/>
      <c r="U135" s="1369"/>
      <c r="V135" s="1369"/>
      <c r="W135" s="1369"/>
      <c r="X135" s="1369"/>
      <c r="Y135" s="1369"/>
      <c r="Z135" s="1369"/>
      <c r="AA135" s="1372"/>
    </row>
    <row r="136" spans="2:27" x14ac:dyDescent="0.25">
      <c r="B136" s="575" t="s">
        <v>105</v>
      </c>
      <c r="C136" s="38"/>
      <c r="D136" s="38"/>
      <c r="E136" s="210"/>
      <c r="F136" s="38"/>
      <c r="G136" s="1098">
        <f>SUM('III. Inputs, Renewable Energy'!$V$36)</f>
        <v>0</v>
      </c>
      <c r="H136" s="38"/>
      <c r="I136" s="38"/>
      <c r="J136" s="38"/>
      <c r="K136" s="38"/>
      <c r="L136" s="38"/>
      <c r="M136" s="38"/>
      <c r="N136" s="38"/>
      <c r="O136" s="38"/>
      <c r="P136" s="38"/>
      <c r="Q136" s="38"/>
      <c r="R136" s="38"/>
      <c r="S136" s="38"/>
      <c r="T136" s="38"/>
      <c r="U136" s="38"/>
      <c r="V136" s="38"/>
      <c r="W136" s="38"/>
      <c r="X136" s="38"/>
      <c r="Y136" s="38"/>
      <c r="Z136" s="38"/>
      <c r="AA136" s="576"/>
    </row>
    <row r="137" spans="2:27" x14ac:dyDescent="0.25">
      <c r="B137" s="575" t="s">
        <v>106</v>
      </c>
      <c r="C137" s="38"/>
      <c r="D137" s="38"/>
      <c r="E137" s="210"/>
      <c r="F137" s="38"/>
      <c r="G137" s="1369" t="e">
        <f>NPV(G136,H134:AA134)+G134</f>
        <v>#VALUE!</v>
      </c>
      <c r="H137" s="38"/>
      <c r="I137" s="38"/>
      <c r="J137" s="38"/>
      <c r="K137" s="38"/>
      <c r="L137" s="38"/>
      <c r="M137" s="38"/>
      <c r="N137" s="38"/>
      <c r="O137" s="38"/>
      <c r="P137" s="38"/>
      <c r="Q137" s="38"/>
      <c r="R137" s="38"/>
      <c r="S137" s="38"/>
      <c r="T137" s="38"/>
      <c r="U137" s="38"/>
      <c r="V137" s="38"/>
      <c r="W137" s="38"/>
      <c r="X137" s="38"/>
      <c r="Y137" s="38"/>
      <c r="Z137" s="38"/>
      <c r="AA137" s="576"/>
    </row>
    <row r="138" spans="2:27" ht="17.25" customHeight="1" x14ac:dyDescent="0.25">
      <c r="B138" s="575" t="s">
        <v>107</v>
      </c>
      <c r="C138" s="38"/>
      <c r="D138" s="38"/>
      <c r="E138" s="210"/>
      <c r="F138" s="38"/>
      <c r="G138" s="1369">
        <f>-NPV($G$136,H110:AA110)</f>
        <v>0</v>
      </c>
      <c r="H138" s="38"/>
      <c r="I138" s="38"/>
      <c r="J138" s="38"/>
      <c r="K138" s="38"/>
      <c r="L138" s="38"/>
      <c r="M138" s="38"/>
      <c r="N138" s="38"/>
      <c r="O138" s="38"/>
      <c r="P138" s="38"/>
      <c r="Q138" s="38"/>
      <c r="R138" s="38"/>
      <c r="S138" s="38"/>
      <c r="T138" s="38"/>
      <c r="U138" s="38"/>
      <c r="V138" s="38"/>
      <c r="W138" s="38"/>
      <c r="X138" s="38"/>
      <c r="Y138" s="38"/>
      <c r="Z138" s="38"/>
      <c r="AA138" s="576"/>
    </row>
    <row r="139" spans="2:27" ht="17.25" customHeight="1" thickBot="1" x14ac:dyDescent="0.3">
      <c r="B139" s="575" t="s">
        <v>108</v>
      </c>
      <c r="C139" s="38"/>
      <c r="D139" s="38"/>
      <c r="E139" s="210"/>
      <c r="F139" s="210" t="s">
        <v>625</v>
      </c>
      <c r="G139" s="1375" t="e">
        <f>IF(OR(G137=0, G138=0), 0, G137/G138)</f>
        <v>#VALUE!</v>
      </c>
      <c r="H139" s="38"/>
      <c r="I139" s="38"/>
      <c r="J139" s="38"/>
      <c r="K139" s="38"/>
      <c r="L139" s="38"/>
      <c r="M139" s="38"/>
      <c r="N139" s="38"/>
      <c r="O139" s="38"/>
      <c r="P139" s="38"/>
      <c r="Q139" s="38"/>
      <c r="R139" s="38"/>
      <c r="S139" s="38"/>
      <c r="T139" s="38"/>
      <c r="U139" s="38"/>
      <c r="V139" s="38"/>
      <c r="W139" s="38"/>
      <c r="X139" s="38"/>
      <c r="Y139" s="38"/>
      <c r="Z139" s="38"/>
      <c r="AA139" s="576"/>
    </row>
    <row r="140" spans="2:27" ht="17.25" customHeight="1" thickBot="1" x14ac:dyDescent="0.3">
      <c r="B140" s="584" t="s">
        <v>109</v>
      </c>
      <c r="C140" s="585"/>
      <c r="D140" s="585"/>
      <c r="E140" s="586"/>
      <c r="F140" s="586" t="s">
        <v>626</v>
      </c>
      <c r="G140" s="1376" t="e">
        <f>$G$139/(1-'III. Inputs, Renewable Energy'!$U$18)</f>
        <v>#VALUE!</v>
      </c>
      <c r="H140" s="38"/>
      <c r="I140" s="38"/>
      <c r="J140" s="38"/>
      <c r="K140" s="38"/>
      <c r="L140" s="38"/>
      <c r="M140" s="38"/>
      <c r="N140" s="38"/>
      <c r="O140" s="38"/>
      <c r="P140" s="38"/>
      <c r="Q140" s="38"/>
      <c r="R140" s="38"/>
      <c r="S140" s="38"/>
      <c r="T140" s="38"/>
      <c r="U140" s="38"/>
      <c r="V140" s="38"/>
      <c r="W140" s="38"/>
      <c r="X140" s="38"/>
      <c r="Y140" s="38"/>
      <c r="Z140" s="38"/>
      <c r="AA140" s="576"/>
    </row>
    <row r="141" spans="2:27" ht="17.25" customHeight="1" thickBot="1" x14ac:dyDescent="0.3">
      <c r="B141" s="587"/>
      <c r="C141" s="588"/>
      <c r="D141" s="588"/>
      <c r="E141" s="589"/>
      <c r="F141" s="589"/>
      <c r="G141" s="590"/>
      <c r="H141" s="591"/>
      <c r="I141" s="591"/>
      <c r="J141" s="591"/>
      <c r="K141" s="591"/>
      <c r="L141" s="591"/>
      <c r="M141" s="591"/>
      <c r="N141" s="591"/>
      <c r="O141" s="591"/>
      <c r="P141" s="591"/>
      <c r="Q141" s="591"/>
      <c r="R141" s="591"/>
      <c r="S141" s="591"/>
      <c r="T141" s="591"/>
      <c r="U141" s="591"/>
      <c r="V141" s="591"/>
      <c r="W141" s="591"/>
      <c r="X141" s="591"/>
      <c r="Y141" s="591"/>
      <c r="Z141" s="591"/>
      <c r="AA141" s="592"/>
    </row>
    <row r="142" spans="2:27" ht="17.25" customHeight="1" thickBot="1" x14ac:dyDescent="0.3"/>
    <row r="143" spans="2:27" ht="10.5" customHeight="1" outlineLevel="1" x14ac:dyDescent="0.25">
      <c r="B143" s="593"/>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row>
    <row r="144" spans="2:27" ht="17.25" customHeight="1" outlineLevel="1" x14ac:dyDescent="0.25">
      <c r="B144" s="582"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25">
      <c r="B145" s="575"/>
      <c r="C145" s="38"/>
      <c r="D145" s="38"/>
      <c r="E145" s="210"/>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25">
      <c r="B146" s="577" t="s">
        <v>58</v>
      </c>
      <c r="C146" s="578"/>
      <c r="D146" s="578"/>
      <c r="E146" s="579"/>
      <c r="F146" s="578"/>
      <c r="G146" s="579">
        <f>G106</f>
        <v>0</v>
      </c>
      <c r="H146" s="579">
        <f t="shared" ref="H146:AA146" si="38">H106</f>
        <v>1</v>
      </c>
      <c r="I146" s="579">
        <f t="shared" si="38"/>
        <v>2</v>
      </c>
      <c r="J146" s="579">
        <f t="shared" si="38"/>
        <v>3</v>
      </c>
      <c r="K146" s="579">
        <f t="shared" si="38"/>
        <v>4</v>
      </c>
      <c r="L146" s="579">
        <f t="shared" si="38"/>
        <v>5</v>
      </c>
      <c r="M146" s="579">
        <f t="shared" si="38"/>
        <v>6</v>
      </c>
      <c r="N146" s="579">
        <f t="shared" si="38"/>
        <v>7</v>
      </c>
      <c r="O146" s="579">
        <f t="shared" si="38"/>
        <v>8</v>
      </c>
      <c r="P146" s="579">
        <f t="shared" si="38"/>
        <v>9</v>
      </c>
      <c r="Q146" s="579">
        <f t="shared" si="38"/>
        <v>10</v>
      </c>
      <c r="R146" s="579">
        <f t="shared" si="38"/>
        <v>11</v>
      </c>
      <c r="S146" s="579">
        <f t="shared" si="38"/>
        <v>12</v>
      </c>
      <c r="T146" s="579">
        <f t="shared" si="38"/>
        <v>13</v>
      </c>
      <c r="U146" s="579">
        <f t="shared" si="38"/>
        <v>14</v>
      </c>
      <c r="V146" s="579">
        <f t="shared" si="38"/>
        <v>15</v>
      </c>
      <c r="W146" s="579">
        <f t="shared" si="38"/>
        <v>16</v>
      </c>
      <c r="X146" s="579">
        <f t="shared" si="38"/>
        <v>17</v>
      </c>
      <c r="Y146" s="579">
        <f t="shared" si="38"/>
        <v>18</v>
      </c>
      <c r="Z146" s="579">
        <f t="shared" si="38"/>
        <v>19</v>
      </c>
      <c r="AA146" s="579">
        <f t="shared" si="38"/>
        <v>20</v>
      </c>
    </row>
    <row r="147" spans="2:27" ht="17.25" customHeight="1" outlineLevel="1" x14ac:dyDescent="0.25">
      <c r="B147" s="575"/>
      <c r="C147" s="38"/>
      <c r="D147" s="38"/>
      <c r="E147" s="210"/>
      <c r="F147" s="38"/>
      <c r="G147" s="210"/>
      <c r="H147" s="210"/>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25">
      <c r="B148" s="575" t="s">
        <v>97</v>
      </c>
      <c r="C148" s="38"/>
      <c r="D148" s="38"/>
      <c r="E148" s="210"/>
      <c r="F148" s="210" t="s">
        <v>98</v>
      </c>
      <c r="G148" s="210"/>
      <c r="H148" s="594">
        <f>H110</f>
        <v>0</v>
      </c>
      <c r="I148" s="594">
        <f t="shared" ref="I148:AA148" si="39">I110</f>
        <v>0</v>
      </c>
      <c r="J148" s="594">
        <f t="shared" si="39"/>
        <v>0</v>
      </c>
      <c r="K148" s="594">
        <f t="shared" si="39"/>
        <v>0</v>
      </c>
      <c r="L148" s="594">
        <f t="shared" si="39"/>
        <v>0</v>
      </c>
      <c r="M148" s="594">
        <f t="shared" si="39"/>
        <v>0</v>
      </c>
      <c r="N148" s="594">
        <f t="shared" si="39"/>
        <v>0</v>
      </c>
      <c r="O148" s="594">
        <f t="shared" si="39"/>
        <v>0</v>
      </c>
      <c r="P148" s="594">
        <f t="shared" si="39"/>
        <v>0</v>
      </c>
      <c r="Q148" s="594">
        <f t="shared" si="39"/>
        <v>0</v>
      </c>
      <c r="R148" s="594">
        <f t="shared" si="39"/>
        <v>0</v>
      </c>
      <c r="S148" s="594">
        <f t="shared" si="39"/>
        <v>0</v>
      </c>
      <c r="T148" s="594">
        <f t="shared" si="39"/>
        <v>0</v>
      </c>
      <c r="U148" s="594">
        <f t="shared" si="39"/>
        <v>0</v>
      </c>
      <c r="V148" s="594">
        <f t="shared" si="39"/>
        <v>0</v>
      </c>
      <c r="W148" s="594">
        <f t="shared" si="39"/>
        <v>0</v>
      </c>
      <c r="X148" s="594">
        <f t="shared" si="39"/>
        <v>0</v>
      </c>
      <c r="Y148" s="594">
        <f t="shared" si="39"/>
        <v>0</v>
      </c>
      <c r="Z148" s="594">
        <f t="shared" si="39"/>
        <v>0</v>
      </c>
      <c r="AA148" s="594">
        <f t="shared" si="39"/>
        <v>0</v>
      </c>
    </row>
    <row r="149" spans="2:27" ht="17.25" customHeight="1" outlineLevel="1" x14ac:dyDescent="0.25">
      <c r="B149" s="575"/>
      <c r="C149" s="38"/>
      <c r="D149" s="38"/>
      <c r="E149" s="210"/>
      <c r="F149" s="210"/>
      <c r="G149" s="210"/>
      <c r="H149" s="595"/>
      <c r="I149" s="595"/>
      <c r="J149" s="595"/>
      <c r="K149" s="595"/>
      <c r="L149" s="595"/>
      <c r="M149" s="595"/>
      <c r="N149" s="595"/>
      <c r="O149" s="595"/>
      <c r="P149" s="595"/>
      <c r="Q149" s="595"/>
      <c r="R149" s="595"/>
      <c r="S149" s="595"/>
      <c r="T149" s="595"/>
      <c r="U149" s="595"/>
      <c r="V149" s="595"/>
      <c r="W149" s="595"/>
      <c r="X149" s="595"/>
      <c r="Y149" s="595"/>
      <c r="Z149" s="595"/>
      <c r="AA149" s="595"/>
    </row>
    <row r="150" spans="2:27" ht="17.25" customHeight="1" outlineLevel="1" x14ac:dyDescent="0.25">
      <c r="B150" s="575" t="s">
        <v>111</v>
      </c>
      <c r="C150" s="38"/>
      <c r="D150" s="38"/>
      <c r="E150" s="210"/>
      <c r="F150" s="210" t="s">
        <v>626</v>
      </c>
      <c r="G150" s="1205"/>
      <c r="H150" s="1377" t="e">
        <f>$G$140</f>
        <v>#VALUE!</v>
      </c>
      <c r="I150" s="1377" t="e">
        <f t="shared" ref="I150:AA150" si="40">$G$140</f>
        <v>#VALUE!</v>
      </c>
      <c r="J150" s="1377" t="e">
        <f t="shared" si="40"/>
        <v>#VALUE!</v>
      </c>
      <c r="K150" s="1377" t="e">
        <f t="shared" si="40"/>
        <v>#VALUE!</v>
      </c>
      <c r="L150" s="1377" t="e">
        <f t="shared" si="40"/>
        <v>#VALUE!</v>
      </c>
      <c r="M150" s="1377" t="e">
        <f t="shared" si="40"/>
        <v>#VALUE!</v>
      </c>
      <c r="N150" s="1377" t="e">
        <f t="shared" si="40"/>
        <v>#VALUE!</v>
      </c>
      <c r="O150" s="1377" t="e">
        <f t="shared" si="40"/>
        <v>#VALUE!</v>
      </c>
      <c r="P150" s="1377" t="e">
        <f t="shared" si="40"/>
        <v>#VALUE!</v>
      </c>
      <c r="Q150" s="1377" t="e">
        <f t="shared" si="40"/>
        <v>#VALUE!</v>
      </c>
      <c r="R150" s="1377" t="e">
        <f t="shared" si="40"/>
        <v>#VALUE!</v>
      </c>
      <c r="S150" s="1377" t="e">
        <f t="shared" si="40"/>
        <v>#VALUE!</v>
      </c>
      <c r="T150" s="1377" t="e">
        <f t="shared" si="40"/>
        <v>#VALUE!</v>
      </c>
      <c r="U150" s="1377" t="e">
        <f t="shared" si="40"/>
        <v>#VALUE!</v>
      </c>
      <c r="V150" s="1377" t="e">
        <f t="shared" si="40"/>
        <v>#VALUE!</v>
      </c>
      <c r="W150" s="1377" t="e">
        <f t="shared" si="40"/>
        <v>#VALUE!</v>
      </c>
      <c r="X150" s="1377" t="e">
        <f t="shared" si="40"/>
        <v>#VALUE!</v>
      </c>
      <c r="Y150" s="1377" t="e">
        <f t="shared" si="40"/>
        <v>#VALUE!</v>
      </c>
      <c r="Z150" s="1377" t="e">
        <f t="shared" si="40"/>
        <v>#VALUE!</v>
      </c>
      <c r="AA150" s="1377" t="e">
        <f t="shared" si="40"/>
        <v>#VALUE!</v>
      </c>
    </row>
    <row r="151" spans="2:27" ht="17.25" customHeight="1" outlineLevel="1" x14ac:dyDescent="0.25">
      <c r="B151" s="583"/>
      <c r="C151" s="39"/>
      <c r="D151" s="39"/>
      <c r="E151" s="212"/>
      <c r="F151" s="212"/>
      <c r="G151" s="1207"/>
      <c r="H151" s="1208"/>
      <c r="I151" s="1208"/>
      <c r="J151" s="1208"/>
      <c r="K151" s="1208"/>
      <c r="L151" s="1208"/>
      <c r="M151" s="1208"/>
      <c r="N151" s="1208"/>
      <c r="O151" s="1208"/>
      <c r="P151" s="1208"/>
      <c r="Q151" s="1208"/>
      <c r="R151" s="1208"/>
      <c r="S151" s="1208"/>
      <c r="T151" s="1208"/>
      <c r="U151" s="1208"/>
      <c r="V151" s="1208"/>
      <c r="W151" s="1208"/>
      <c r="X151" s="1208"/>
      <c r="Y151" s="1208"/>
      <c r="Z151" s="1208"/>
      <c r="AA151" s="1208"/>
    </row>
    <row r="152" spans="2:27" ht="17.25" customHeight="1" outlineLevel="1" x14ac:dyDescent="0.25">
      <c r="B152" s="575" t="s">
        <v>112</v>
      </c>
      <c r="C152" s="38"/>
      <c r="D152" s="38"/>
      <c r="E152" s="210"/>
      <c r="F152" s="210" t="s">
        <v>22</v>
      </c>
      <c r="G152" s="1205"/>
      <c r="H152" s="1379" t="e">
        <f>H148*H150</f>
        <v>#VALUE!</v>
      </c>
      <c r="I152" s="1379" t="e">
        <f t="shared" ref="I152:AA152" si="41">I148*I150</f>
        <v>#VALUE!</v>
      </c>
      <c r="J152" s="1379" t="e">
        <f t="shared" si="41"/>
        <v>#VALUE!</v>
      </c>
      <c r="K152" s="1379" t="e">
        <f t="shared" si="41"/>
        <v>#VALUE!</v>
      </c>
      <c r="L152" s="1379" t="e">
        <f t="shared" si="41"/>
        <v>#VALUE!</v>
      </c>
      <c r="M152" s="1379" t="e">
        <f t="shared" si="41"/>
        <v>#VALUE!</v>
      </c>
      <c r="N152" s="1379" t="e">
        <f t="shared" si="41"/>
        <v>#VALUE!</v>
      </c>
      <c r="O152" s="1379" t="e">
        <f t="shared" si="41"/>
        <v>#VALUE!</v>
      </c>
      <c r="P152" s="1379" t="e">
        <f t="shared" si="41"/>
        <v>#VALUE!</v>
      </c>
      <c r="Q152" s="1379" t="e">
        <f t="shared" si="41"/>
        <v>#VALUE!</v>
      </c>
      <c r="R152" s="1379" t="e">
        <f t="shared" si="41"/>
        <v>#VALUE!</v>
      </c>
      <c r="S152" s="1379" t="e">
        <f t="shared" si="41"/>
        <v>#VALUE!</v>
      </c>
      <c r="T152" s="1379" t="e">
        <f t="shared" si="41"/>
        <v>#VALUE!</v>
      </c>
      <c r="U152" s="1379" t="e">
        <f t="shared" si="41"/>
        <v>#VALUE!</v>
      </c>
      <c r="V152" s="1379" t="e">
        <f t="shared" si="41"/>
        <v>#VALUE!</v>
      </c>
      <c r="W152" s="1379" t="e">
        <f t="shared" si="41"/>
        <v>#VALUE!</v>
      </c>
      <c r="X152" s="1379" t="e">
        <f t="shared" si="41"/>
        <v>#VALUE!</v>
      </c>
      <c r="Y152" s="1379" t="e">
        <f t="shared" si="41"/>
        <v>#VALUE!</v>
      </c>
      <c r="Z152" s="1379" t="e">
        <f t="shared" si="41"/>
        <v>#VALUE!</v>
      </c>
      <c r="AA152" s="1379" t="e">
        <f t="shared" si="41"/>
        <v>#VALUE!</v>
      </c>
    </row>
    <row r="153" spans="2:27" ht="6.75" customHeight="1" outlineLevel="1" x14ac:dyDescent="0.25">
      <c r="B153" s="575"/>
      <c r="C153" s="38"/>
      <c r="D153" s="38"/>
      <c r="E153" s="210"/>
      <c r="F153" s="210"/>
      <c r="G153" s="1205"/>
      <c r="H153" s="1379"/>
      <c r="I153" s="1379"/>
      <c r="J153" s="1379"/>
      <c r="K153" s="1379"/>
      <c r="L153" s="1379"/>
      <c r="M153" s="1379"/>
      <c r="N153" s="1379"/>
      <c r="O153" s="1379"/>
      <c r="P153" s="1379"/>
      <c r="Q153" s="1379"/>
      <c r="R153" s="1379"/>
      <c r="S153" s="1379"/>
      <c r="T153" s="1379"/>
      <c r="U153" s="1379"/>
      <c r="V153" s="1379"/>
      <c r="W153" s="1379"/>
      <c r="X153" s="1379"/>
      <c r="Y153" s="1379"/>
      <c r="Z153" s="1379"/>
      <c r="AA153" s="1379"/>
    </row>
    <row r="154" spans="2:27" ht="17.25" customHeight="1" outlineLevel="1" x14ac:dyDescent="0.25">
      <c r="B154" s="575" t="s">
        <v>113</v>
      </c>
      <c r="C154" s="38"/>
      <c r="D154" s="38"/>
      <c r="E154" s="210"/>
      <c r="F154" s="210" t="s">
        <v>22</v>
      </c>
      <c r="G154" s="1205"/>
      <c r="H154" s="1379">
        <f>-H114</f>
        <v>0</v>
      </c>
      <c r="I154" s="1379">
        <f t="shared" ref="I154:AA154" si="42">-I114</f>
        <v>0</v>
      </c>
      <c r="J154" s="1379">
        <f t="shared" si="42"/>
        <v>0</v>
      </c>
      <c r="K154" s="1379">
        <f t="shared" si="42"/>
        <v>0</v>
      </c>
      <c r="L154" s="1379">
        <f t="shared" si="42"/>
        <v>0</v>
      </c>
      <c r="M154" s="1379">
        <f t="shared" si="42"/>
        <v>0</v>
      </c>
      <c r="N154" s="1379">
        <f t="shared" si="42"/>
        <v>0</v>
      </c>
      <c r="O154" s="1379">
        <f t="shared" si="42"/>
        <v>0</v>
      </c>
      <c r="P154" s="1379">
        <f t="shared" si="42"/>
        <v>0</v>
      </c>
      <c r="Q154" s="1379">
        <f t="shared" si="42"/>
        <v>0</v>
      </c>
      <c r="R154" s="1379">
        <f t="shared" si="42"/>
        <v>0</v>
      </c>
      <c r="S154" s="1379">
        <f t="shared" si="42"/>
        <v>0</v>
      </c>
      <c r="T154" s="1379">
        <f t="shared" si="42"/>
        <v>0</v>
      </c>
      <c r="U154" s="1379">
        <f t="shared" si="42"/>
        <v>0</v>
      </c>
      <c r="V154" s="1379">
        <f t="shared" si="42"/>
        <v>0</v>
      </c>
      <c r="W154" s="1379">
        <f t="shared" si="42"/>
        <v>0</v>
      </c>
      <c r="X154" s="1379">
        <f t="shared" si="42"/>
        <v>0</v>
      </c>
      <c r="Y154" s="1379">
        <f t="shared" si="42"/>
        <v>0</v>
      </c>
      <c r="Z154" s="1379">
        <f t="shared" si="42"/>
        <v>0</v>
      </c>
      <c r="AA154" s="1379">
        <f t="shared" si="42"/>
        <v>0</v>
      </c>
    </row>
    <row r="155" spans="2:27" ht="4.5" customHeight="1" outlineLevel="1" x14ac:dyDescent="0.25">
      <c r="B155" s="575"/>
      <c r="C155" s="38"/>
      <c r="D155" s="38"/>
      <c r="E155" s="210"/>
      <c r="F155" s="210"/>
      <c r="G155" s="1205"/>
      <c r="H155" s="1379"/>
      <c r="I155" s="1379"/>
      <c r="J155" s="1379"/>
      <c r="K155" s="1379"/>
      <c r="L155" s="1379"/>
      <c r="M155" s="1379"/>
      <c r="N155" s="1379"/>
      <c r="O155" s="1379"/>
      <c r="P155" s="1379"/>
      <c r="Q155" s="1379"/>
      <c r="R155" s="1379"/>
      <c r="S155" s="1379"/>
      <c r="T155" s="1379"/>
      <c r="U155" s="1379"/>
      <c r="V155" s="1379"/>
      <c r="W155" s="1379"/>
      <c r="X155" s="1379"/>
      <c r="Y155" s="1379"/>
      <c r="Z155" s="1379"/>
      <c r="AA155" s="1379"/>
    </row>
    <row r="156" spans="2:27" ht="17.25" customHeight="1" outlineLevel="1" x14ac:dyDescent="0.25">
      <c r="B156" s="582" t="s">
        <v>114</v>
      </c>
      <c r="C156" s="596"/>
      <c r="D156" s="596"/>
      <c r="E156" s="597"/>
      <c r="F156" s="597"/>
      <c r="G156" s="1209"/>
      <c r="H156" s="1380" t="e">
        <f>H152+H154</f>
        <v>#VALUE!</v>
      </c>
      <c r="I156" s="1380" t="e">
        <f t="shared" ref="I156:AA156" si="43">I152+I154</f>
        <v>#VALUE!</v>
      </c>
      <c r="J156" s="1380" t="e">
        <f t="shared" si="43"/>
        <v>#VALUE!</v>
      </c>
      <c r="K156" s="1380" t="e">
        <f t="shared" si="43"/>
        <v>#VALUE!</v>
      </c>
      <c r="L156" s="1380" t="e">
        <f t="shared" si="43"/>
        <v>#VALUE!</v>
      </c>
      <c r="M156" s="1380" t="e">
        <f t="shared" si="43"/>
        <v>#VALUE!</v>
      </c>
      <c r="N156" s="1380" t="e">
        <f t="shared" si="43"/>
        <v>#VALUE!</v>
      </c>
      <c r="O156" s="1380" t="e">
        <f t="shared" si="43"/>
        <v>#VALUE!</v>
      </c>
      <c r="P156" s="1380" t="e">
        <f t="shared" si="43"/>
        <v>#VALUE!</v>
      </c>
      <c r="Q156" s="1380" t="e">
        <f t="shared" si="43"/>
        <v>#VALUE!</v>
      </c>
      <c r="R156" s="1380" t="e">
        <f t="shared" si="43"/>
        <v>#VALUE!</v>
      </c>
      <c r="S156" s="1380" t="e">
        <f t="shared" si="43"/>
        <v>#VALUE!</v>
      </c>
      <c r="T156" s="1380" t="e">
        <f t="shared" si="43"/>
        <v>#VALUE!</v>
      </c>
      <c r="U156" s="1380" t="e">
        <f t="shared" si="43"/>
        <v>#VALUE!</v>
      </c>
      <c r="V156" s="1380" t="e">
        <f t="shared" si="43"/>
        <v>#VALUE!</v>
      </c>
      <c r="W156" s="1380" t="e">
        <f t="shared" si="43"/>
        <v>#VALUE!</v>
      </c>
      <c r="X156" s="1380" t="e">
        <f t="shared" si="43"/>
        <v>#VALUE!</v>
      </c>
      <c r="Y156" s="1380" t="e">
        <f t="shared" si="43"/>
        <v>#VALUE!</v>
      </c>
      <c r="Z156" s="1380" t="e">
        <f t="shared" si="43"/>
        <v>#VALUE!</v>
      </c>
      <c r="AA156" s="1380" t="e">
        <f t="shared" si="43"/>
        <v>#VALUE!</v>
      </c>
    </row>
    <row r="157" spans="2:27" ht="7.5" customHeight="1" outlineLevel="1" x14ac:dyDescent="0.25">
      <c r="B157" s="575"/>
      <c r="C157" s="38"/>
      <c r="D157" s="38"/>
      <c r="E157" s="210"/>
      <c r="F157" s="210"/>
      <c r="G157" s="1205"/>
      <c r="H157" s="1379"/>
      <c r="I157" s="1379"/>
      <c r="J157" s="1379"/>
      <c r="K157" s="1379"/>
      <c r="L157" s="1379"/>
      <c r="M157" s="1379"/>
      <c r="N157" s="1379"/>
      <c r="O157" s="1379"/>
      <c r="P157" s="1379"/>
      <c r="Q157" s="1379"/>
      <c r="R157" s="1379"/>
      <c r="S157" s="1379"/>
      <c r="T157" s="1379"/>
      <c r="U157" s="1379"/>
      <c r="V157" s="1379"/>
      <c r="W157" s="1379"/>
      <c r="X157" s="1379"/>
      <c r="Y157" s="1379"/>
      <c r="Z157" s="1379"/>
      <c r="AA157" s="1379"/>
    </row>
    <row r="158" spans="2:27" ht="17.25" customHeight="1" outlineLevel="1" x14ac:dyDescent="0.25">
      <c r="B158" s="575" t="s">
        <v>115</v>
      </c>
      <c r="C158" s="38"/>
      <c r="D158" s="38"/>
      <c r="E158" s="210"/>
      <c r="F158" s="210"/>
      <c r="G158" s="1205"/>
      <c r="H158" s="1379" t="e">
        <f>-H116</f>
        <v>#VALUE!</v>
      </c>
      <c r="I158" s="1379" t="e">
        <f t="shared" ref="I158:AA158" si="44">-I116</f>
        <v>#VALUE!</v>
      </c>
      <c r="J158" s="1379" t="e">
        <f t="shared" si="44"/>
        <v>#VALUE!</v>
      </c>
      <c r="K158" s="1379" t="e">
        <f t="shared" si="44"/>
        <v>#VALUE!</v>
      </c>
      <c r="L158" s="1379" t="e">
        <f t="shared" si="44"/>
        <v>#VALUE!</v>
      </c>
      <c r="M158" s="1379" t="e">
        <f t="shared" si="44"/>
        <v>#VALUE!</v>
      </c>
      <c r="N158" s="1379" t="e">
        <f t="shared" si="44"/>
        <v>#VALUE!</v>
      </c>
      <c r="O158" s="1379" t="e">
        <f t="shared" si="44"/>
        <v>#VALUE!</v>
      </c>
      <c r="P158" s="1379" t="e">
        <f t="shared" si="44"/>
        <v>#VALUE!</v>
      </c>
      <c r="Q158" s="1379" t="e">
        <f t="shared" si="44"/>
        <v>#VALUE!</v>
      </c>
      <c r="R158" s="1379" t="e">
        <f t="shared" si="44"/>
        <v>#VALUE!</v>
      </c>
      <c r="S158" s="1379" t="e">
        <f t="shared" si="44"/>
        <v>#VALUE!</v>
      </c>
      <c r="T158" s="1379" t="e">
        <f t="shared" si="44"/>
        <v>#VALUE!</v>
      </c>
      <c r="U158" s="1379" t="e">
        <f t="shared" si="44"/>
        <v>#VALUE!</v>
      </c>
      <c r="V158" s="1379" t="e">
        <f t="shared" si="44"/>
        <v>#VALUE!</v>
      </c>
      <c r="W158" s="1379" t="e">
        <f t="shared" si="44"/>
        <v>#VALUE!</v>
      </c>
      <c r="X158" s="1379" t="e">
        <f t="shared" si="44"/>
        <v>#VALUE!</v>
      </c>
      <c r="Y158" s="1379" t="e">
        <f t="shared" si="44"/>
        <v>#VALUE!</v>
      </c>
      <c r="Z158" s="1379" t="e">
        <f t="shared" si="44"/>
        <v>#VALUE!</v>
      </c>
      <c r="AA158" s="1379" t="e">
        <f t="shared" si="44"/>
        <v>#VALUE!</v>
      </c>
    </row>
    <row r="159" spans="2:27" ht="9" customHeight="1" outlineLevel="1" x14ac:dyDescent="0.25">
      <c r="B159" s="575"/>
      <c r="C159" s="38"/>
      <c r="D159" s="38"/>
      <c r="E159" s="210"/>
      <c r="F159" s="210"/>
      <c r="G159" s="1205"/>
      <c r="H159" s="1379"/>
      <c r="I159" s="1379"/>
      <c r="J159" s="1379"/>
      <c r="K159" s="1379"/>
      <c r="L159" s="1379"/>
      <c r="M159" s="1379"/>
      <c r="N159" s="1379"/>
      <c r="O159" s="1379"/>
      <c r="P159" s="1379"/>
      <c r="Q159" s="1379"/>
      <c r="R159" s="1379"/>
      <c r="S159" s="1379"/>
      <c r="T159" s="1379"/>
      <c r="U159" s="1379"/>
      <c r="V159" s="1379"/>
      <c r="W159" s="1379"/>
      <c r="X159" s="1379"/>
      <c r="Y159" s="1379"/>
      <c r="Z159" s="1379"/>
      <c r="AA159" s="1379"/>
    </row>
    <row r="160" spans="2:27" ht="17.25" customHeight="1" outlineLevel="1" x14ac:dyDescent="0.25">
      <c r="B160" s="582" t="s">
        <v>116</v>
      </c>
      <c r="C160" s="596"/>
      <c r="D160" s="596"/>
      <c r="E160" s="597"/>
      <c r="F160" s="597"/>
      <c r="G160" s="1209"/>
      <c r="H160" s="1380" t="e">
        <f>H156+H158</f>
        <v>#VALUE!</v>
      </c>
      <c r="I160" s="1380" t="e">
        <f t="shared" ref="I160:AA160" si="45">I156+I158</f>
        <v>#VALUE!</v>
      </c>
      <c r="J160" s="1380" t="e">
        <f t="shared" si="45"/>
        <v>#VALUE!</v>
      </c>
      <c r="K160" s="1380" t="e">
        <f t="shared" si="45"/>
        <v>#VALUE!</v>
      </c>
      <c r="L160" s="1380" t="e">
        <f t="shared" si="45"/>
        <v>#VALUE!</v>
      </c>
      <c r="M160" s="1380" t="e">
        <f t="shared" si="45"/>
        <v>#VALUE!</v>
      </c>
      <c r="N160" s="1380" t="e">
        <f t="shared" si="45"/>
        <v>#VALUE!</v>
      </c>
      <c r="O160" s="1380" t="e">
        <f t="shared" si="45"/>
        <v>#VALUE!</v>
      </c>
      <c r="P160" s="1380" t="e">
        <f t="shared" si="45"/>
        <v>#VALUE!</v>
      </c>
      <c r="Q160" s="1380" t="e">
        <f t="shared" si="45"/>
        <v>#VALUE!</v>
      </c>
      <c r="R160" s="1380" t="e">
        <f t="shared" si="45"/>
        <v>#VALUE!</v>
      </c>
      <c r="S160" s="1380" t="e">
        <f t="shared" si="45"/>
        <v>#VALUE!</v>
      </c>
      <c r="T160" s="1380" t="e">
        <f t="shared" si="45"/>
        <v>#VALUE!</v>
      </c>
      <c r="U160" s="1380" t="e">
        <f t="shared" si="45"/>
        <v>#VALUE!</v>
      </c>
      <c r="V160" s="1380" t="e">
        <f t="shared" si="45"/>
        <v>#VALUE!</v>
      </c>
      <c r="W160" s="1380" t="e">
        <f t="shared" si="45"/>
        <v>#VALUE!</v>
      </c>
      <c r="X160" s="1380" t="e">
        <f t="shared" si="45"/>
        <v>#VALUE!</v>
      </c>
      <c r="Y160" s="1380" t="e">
        <f t="shared" si="45"/>
        <v>#VALUE!</v>
      </c>
      <c r="Z160" s="1380" t="e">
        <f t="shared" si="45"/>
        <v>#VALUE!</v>
      </c>
      <c r="AA160" s="1380" t="e">
        <f t="shared" si="45"/>
        <v>#VALUE!</v>
      </c>
    </row>
    <row r="161" spans="2:27" ht="6.75" customHeight="1" outlineLevel="1" x14ac:dyDescent="0.25">
      <c r="B161" s="575"/>
      <c r="C161" s="38"/>
      <c r="D161" s="38"/>
      <c r="E161" s="210"/>
      <c r="F161" s="210"/>
      <c r="G161" s="1205"/>
      <c r="H161" s="1379"/>
      <c r="I161" s="1379"/>
      <c r="J161" s="1379"/>
      <c r="K161" s="1379"/>
      <c r="L161" s="1379"/>
      <c r="M161" s="1379"/>
      <c r="N161" s="1379"/>
      <c r="O161" s="1379"/>
      <c r="P161" s="1379"/>
      <c r="Q161" s="1379"/>
      <c r="R161" s="1379"/>
      <c r="S161" s="1379"/>
      <c r="T161" s="1379"/>
      <c r="U161" s="1379"/>
      <c r="V161" s="1379"/>
      <c r="W161" s="1379"/>
      <c r="X161" s="1379"/>
      <c r="Y161" s="1379"/>
      <c r="Z161" s="1379"/>
      <c r="AA161" s="1379"/>
    </row>
    <row r="162" spans="2:27" ht="17.25" customHeight="1" outlineLevel="1" x14ac:dyDescent="0.25">
      <c r="B162" s="575" t="str">
        <f t="shared" ref="B162:B167" si="46">B118</f>
        <v xml:space="preserve">Interest Expense, public loan </v>
      </c>
      <c r="C162" s="38"/>
      <c r="D162" s="38"/>
      <c r="E162" s="210"/>
      <c r="F162" s="210"/>
      <c r="G162" s="1205"/>
      <c r="H162" s="1379">
        <f t="shared" ref="H162:AA167" si="47">-H118</f>
        <v>0</v>
      </c>
      <c r="I162" s="1379">
        <f t="shared" si="47"/>
        <v>0</v>
      </c>
      <c r="J162" s="1379">
        <f t="shared" si="47"/>
        <v>0</v>
      </c>
      <c r="K162" s="1379">
        <f t="shared" si="47"/>
        <v>0</v>
      </c>
      <c r="L162" s="1379">
        <f t="shared" si="47"/>
        <v>0</v>
      </c>
      <c r="M162" s="1379">
        <f t="shared" si="47"/>
        <v>0</v>
      </c>
      <c r="N162" s="1379">
        <f t="shared" si="47"/>
        <v>0</v>
      </c>
      <c r="O162" s="1379">
        <f t="shared" si="47"/>
        <v>0</v>
      </c>
      <c r="P162" s="1379">
        <f t="shared" si="47"/>
        <v>0</v>
      </c>
      <c r="Q162" s="1379">
        <f t="shared" si="47"/>
        <v>0</v>
      </c>
      <c r="R162" s="1379">
        <f t="shared" si="47"/>
        <v>0</v>
      </c>
      <c r="S162" s="1379">
        <f t="shared" si="47"/>
        <v>0</v>
      </c>
      <c r="T162" s="1379">
        <f t="shared" si="47"/>
        <v>0</v>
      </c>
      <c r="U162" s="1379">
        <f t="shared" si="47"/>
        <v>0</v>
      </c>
      <c r="V162" s="1379">
        <f t="shared" si="47"/>
        <v>0</v>
      </c>
      <c r="W162" s="1379">
        <f t="shared" si="47"/>
        <v>0</v>
      </c>
      <c r="X162" s="1379">
        <f t="shared" si="47"/>
        <v>0</v>
      </c>
      <c r="Y162" s="1379">
        <f t="shared" si="47"/>
        <v>0</v>
      </c>
      <c r="Z162" s="1379">
        <f t="shared" si="47"/>
        <v>0</v>
      </c>
      <c r="AA162" s="1379">
        <f t="shared" si="47"/>
        <v>0</v>
      </c>
    </row>
    <row r="163" spans="2:27" ht="17.25" customHeight="1" outlineLevel="1" x14ac:dyDescent="0.25">
      <c r="B163" s="575" t="str">
        <f t="shared" si="46"/>
        <v>Interest Expense, commercial loan with public guarantees</v>
      </c>
      <c r="C163" s="38"/>
      <c r="D163" s="38"/>
      <c r="E163" s="210"/>
      <c r="F163" s="210"/>
      <c r="G163" s="1205"/>
      <c r="H163" s="1379">
        <f t="shared" si="47"/>
        <v>0</v>
      </c>
      <c r="I163" s="1379">
        <f t="shared" si="47"/>
        <v>0</v>
      </c>
      <c r="J163" s="1379">
        <f t="shared" si="47"/>
        <v>0</v>
      </c>
      <c r="K163" s="1379">
        <f t="shared" si="47"/>
        <v>0</v>
      </c>
      <c r="L163" s="1379">
        <f t="shared" si="47"/>
        <v>0</v>
      </c>
      <c r="M163" s="1379">
        <f t="shared" si="47"/>
        <v>0</v>
      </c>
      <c r="N163" s="1379">
        <f t="shared" si="47"/>
        <v>0</v>
      </c>
      <c r="O163" s="1379">
        <f t="shared" si="47"/>
        <v>0</v>
      </c>
      <c r="P163" s="1379">
        <f t="shared" si="47"/>
        <v>0</v>
      </c>
      <c r="Q163" s="1379">
        <f t="shared" si="47"/>
        <v>0</v>
      </c>
      <c r="R163" s="1379">
        <f t="shared" si="47"/>
        <v>0</v>
      </c>
      <c r="S163" s="1379">
        <f t="shared" si="47"/>
        <v>0</v>
      </c>
      <c r="T163" s="1379">
        <f t="shared" si="47"/>
        <v>0</v>
      </c>
      <c r="U163" s="1379">
        <f t="shared" si="47"/>
        <v>0</v>
      </c>
      <c r="V163" s="1379">
        <f t="shared" si="47"/>
        <v>0</v>
      </c>
      <c r="W163" s="1379">
        <f t="shared" si="47"/>
        <v>0</v>
      </c>
      <c r="X163" s="1379">
        <f t="shared" si="47"/>
        <v>0</v>
      </c>
      <c r="Y163" s="1379">
        <f t="shared" si="47"/>
        <v>0</v>
      </c>
      <c r="Z163" s="1379">
        <f t="shared" si="47"/>
        <v>0</v>
      </c>
      <c r="AA163" s="1379">
        <f t="shared" si="47"/>
        <v>0</v>
      </c>
    </row>
    <row r="164" spans="2:27" ht="17.25" customHeight="1" outlineLevel="1" x14ac:dyDescent="0.25">
      <c r="B164" s="575" t="str">
        <f t="shared" si="46"/>
        <v>Interest Expense, commercial loan without public guarantees</v>
      </c>
      <c r="C164" s="38"/>
      <c r="D164" s="38"/>
      <c r="E164" s="210"/>
      <c r="F164" s="210"/>
      <c r="G164" s="1205"/>
      <c r="H164" s="1379">
        <f t="shared" si="47"/>
        <v>0</v>
      </c>
      <c r="I164" s="1379">
        <f t="shared" si="47"/>
        <v>0</v>
      </c>
      <c r="J164" s="1379">
        <f t="shared" si="47"/>
        <v>0</v>
      </c>
      <c r="K164" s="1379">
        <f t="shared" si="47"/>
        <v>0</v>
      </c>
      <c r="L164" s="1379">
        <f t="shared" si="47"/>
        <v>0</v>
      </c>
      <c r="M164" s="1379">
        <f t="shared" si="47"/>
        <v>0</v>
      </c>
      <c r="N164" s="1379">
        <f t="shared" si="47"/>
        <v>0</v>
      </c>
      <c r="O164" s="1379">
        <f t="shared" si="47"/>
        <v>0</v>
      </c>
      <c r="P164" s="1379">
        <f t="shared" si="47"/>
        <v>0</v>
      </c>
      <c r="Q164" s="1379">
        <f t="shared" si="47"/>
        <v>0</v>
      </c>
      <c r="R164" s="1379">
        <f t="shared" si="47"/>
        <v>0</v>
      </c>
      <c r="S164" s="1379">
        <f t="shared" si="47"/>
        <v>0</v>
      </c>
      <c r="T164" s="1379">
        <f t="shared" si="47"/>
        <v>0</v>
      </c>
      <c r="U164" s="1379">
        <f t="shared" si="47"/>
        <v>0</v>
      </c>
      <c r="V164" s="1379">
        <f t="shared" si="47"/>
        <v>0</v>
      </c>
      <c r="W164" s="1379">
        <f t="shared" si="47"/>
        <v>0</v>
      </c>
      <c r="X164" s="1379">
        <f t="shared" si="47"/>
        <v>0</v>
      </c>
      <c r="Y164" s="1379">
        <f t="shared" si="47"/>
        <v>0</v>
      </c>
      <c r="Z164" s="1379">
        <f t="shared" si="47"/>
        <v>0</v>
      </c>
      <c r="AA164" s="1379">
        <f t="shared" si="47"/>
        <v>0</v>
      </c>
    </row>
    <row r="165" spans="2:27" ht="17.25" customHeight="1" outlineLevel="1" x14ac:dyDescent="0.25">
      <c r="B165" s="575" t="str">
        <f t="shared" si="46"/>
        <v xml:space="preserve">Front-end Fees </v>
      </c>
      <c r="C165" s="38"/>
      <c r="D165" s="38"/>
      <c r="E165" s="210"/>
      <c r="F165" s="210"/>
      <c r="G165" s="1205"/>
      <c r="H165" s="1379">
        <f t="shared" si="47"/>
        <v>0</v>
      </c>
      <c r="I165" s="1379">
        <f t="shared" si="47"/>
        <v>0</v>
      </c>
      <c r="J165" s="1379">
        <f t="shared" si="47"/>
        <v>0</v>
      </c>
      <c r="K165" s="1379">
        <f t="shared" si="47"/>
        <v>0</v>
      </c>
      <c r="L165" s="1379">
        <f t="shared" si="47"/>
        <v>0</v>
      </c>
      <c r="M165" s="1379">
        <f t="shared" si="47"/>
        <v>0</v>
      </c>
      <c r="N165" s="1379">
        <f t="shared" si="47"/>
        <v>0</v>
      </c>
      <c r="O165" s="1379">
        <f t="shared" si="47"/>
        <v>0</v>
      </c>
      <c r="P165" s="1379">
        <f t="shared" si="47"/>
        <v>0</v>
      </c>
      <c r="Q165" s="1379">
        <f t="shared" si="47"/>
        <v>0</v>
      </c>
      <c r="R165" s="1379">
        <f t="shared" si="47"/>
        <v>0</v>
      </c>
      <c r="S165" s="1379">
        <f t="shared" si="47"/>
        <v>0</v>
      </c>
      <c r="T165" s="1379">
        <f t="shared" si="47"/>
        <v>0</v>
      </c>
      <c r="U165" s="1379">
        <f t="shared" si="47"/>
        <v>0</v>
      </c>
      <c r="V165" s="1379">
        <f t="shared" si="47"/>
        <v>0</v>
      </c>
      <c r="W165" s="1379">
        <f t="shared" si="47"/>
        <v>0</v>
      </c>
      <c r="X165" s="1379">
        <f t="shared" si="47"/>
        <v>0</v>
      </c>
      <c r="Y165" s="1379">
        <f t="shared" si="47"/>
        <v>0</v>
      </c>
      <c r="Z165" s="1379">
        <f t="shared" si="47"/>
        <v>0</v>
      </c>
      <c r="AA165" s="1379">
        <f t="shared" si="47"/>
        <v>0</v>
      </c>
    </row>
    <row r="166" spans="2:27" ht="17.25" customHeight="1" outlineLevel="1" x14ac:dyDescent="0.25">
      <c r="B166" s="575" t="str">
        <f t="shared" si="46"/>
        <v xml:space="preserve">Public Guarantee Fees </v>
      </c>
      <c r="C166" s="38"/>
      <c r="D166" s="38"/>
      <c r="E166" s="210"/>
      <c r="F166" s="210"/>
      <c r="G166" s="1205"/>
      <c r="H166" s="1379">
        <f t="shared" si="47"/>
        <v>0</v>
      </c>
      <c r="I166" s="1379">
        <f t="shared" si="47"/>
        <v>0</v>
      </c>
      <c r="J166" s="1379">
        <f t="shared" si="47"/>
        <v>0</v>
      </c>
      <c r="K166" s="1379">
        <f t="shared" si="47"/>
        <v>0</v>
      </c>
      <c r="L166" s="1379">
        <f t="shared" si="47"/>
        <v>0</v>
      </c>
      <c r="M166" s="1379">
        <f t="shared" si="47"/>
        <v>0</v>
      </c>
      <c r="N166" s="1379">
        <f t="shared" si="47"/>
        <v>0</v>
      </c>
      <c r="O166" s="1379">
        <f t="shared" si="47"/>
        <v>0</v>
      </c>
      <c r="P166" s="1379">
        <f t="shared" si="47"/>
        <v>0</v>
      </c>
      <c r="Q166" s="1379">
        <f t="shared" si="47"/>
        <v>0</v>
      </c>
      <c r="R166" s="1379">
        <f t="shared" si="47"/>
        <v>0</v>
      </c>
      <c r="S166" s="1379">
        <f t="shared" si="47"/>
        <v>0</v>
      </c>
      <c r="T166" s="1379">
        <f t="shared" si="47"/>
        <v>0</v>
      </c>
      <c r="U166" s="1379">
        <f t="shared" si="47"/>
        <v>0</v>
      </c>
      <c r="V166" s="1379">
        <f t="shared" si="47"/>
        <v>0</v>
      </c>
      <c r="W166" s="1379">
        <f t="shared" si="47"/>
        <v>0</v>
      </c>
      <c r="X166" s="1379">
        <f t="shared" si="47"/>
        <v>0</v>
      </c>
      <c r="Y166" s="1379">
        <f t="shared" si="47"/>
        <v>0</v>
      </c>
      <c r="Z166" s="1379">
        <f t="shared" si="47"/>
        <v>0</v>
      </c>
      <c r="AA166" s="1379">
        <f t="shared" si="47"/>
        <v>0</v>
      </c>
    </row>
    <row r="167" spans="2:27" ht="17.25" customHeight="1" outlineLevel="1" x14ac:dyDescent="0.25">
      <c r="B167" s="575" t="str">
        <f t="shared" si="46"/>
        <v>Political Risk Insurance - Fees &amp; Annual Premium Payments</v>
      </c>
      <c r="C167" s="38"/>
      <c r="D167" s="38"/>
      <c r="E167" s="210"/>
      <c r="F167" s="210"/>
      <c r="G167" s="1205"/>
      <c r="H167" s="1379">
        <f t="shared" si="47"/>
        <v>0</v>
      </c>
      <c r="I167" s="1379">
        <f t="shared" si="47"/>
        <v>0</v>
      </c>
      <c r="J167" s="1379">
        <f t="shared" si="47"/>
        <v>0</v>
      </c>
      <c r="K167" s="1379">
        <f t="shared" si="47"/>
        <v>0</v>
      </c>
      <c r="L167" s="1379">
        <f t="shared" si="47"/>
        <v>0</v>
      </c>
      <c r="M167" s="1379">
        <f t="shared" si="47"/>
        <v>0</v>
      </c>
      <c r="N167" s="1379">
        <f t="shared" si="47"/>
        <v>0</v>
      </c>
      <c r="O167" s="1379">
        <f t="shared" si="47"/>
        <v>0</v>
      </c>
      <c r="P167" s="1379">
        <f t="shared" si="47"/>
        <v>0</v>
      </c>
      <c r="Q167" s="1379">
        <f t="shared" si="47"/>
        <v>0</v>
      </c>
      <c r="R167" s="1379">
        <f t="shared" si="47"/>
        <v>0</v>
      </c>
      <c r="S167" s="1379">
        <f t="shared" si="47"/>
        <v>0</v>
      </c>
      <c r="T167" s="1379">
        <f t="shared" si="47"/>
        <v>0</v>
      </c>
      <c r="U167" s="1379">
        <f t="shared" si="47"/>
        <v>0</v>
      </c>
      <c r="V167" s="1379">
        <f t="shared" si="47"/>
        <v>0</v>
      </c>
      <c r="W167" s="1379">
        <f t="shared" si="47"/>
        <v>0</v>
      </c>
      <c r="X167" s="1379">
        <f t="shared" si="47"/>
        <v>0</v>
      </c>
      <c r="Y167" s="1379">
        <f t="shared" si="47"/>
        <v>0</v>
      </c>
      <c r="Z167" s="1379">
        <f t="shared" si="47"/>
        <v>0</v>
      </c>
      <c r="AA167" s="1379">
        <f t="shared" si="47"/>
        <v>0</v>
      </c>
    </row>
    <row r="168" spans="2:27" ht="9.75" customHeight="1" outlineLevel="1" x14ac:dyDescent="0.25">
      <c r="B168" s="575"/>
      <c r="C168" s="38"/>
      <c r="D168" s="38"/>
      <c r="E168" s="210"/>
      <c r="F168" s="210"/>
      <c r="G168" s="1205"/>
      <c r="H168" s="1379"/>
      <c r="I168" s="1379"/>
      <c r="J168" s="1379"/>
      <c r="K168" s="1379"/>
      <c r="L168" s="1379"/>
      <c r="M168" s="1379"/>
      <c r="N168" s="1379"/>
      <c r="O168" s="1379"/>
      <c r="P168" s="1379"/>
      <c r="Q168" s="1379"/>
      <c r="R168" s="1379"/>
      <c r="S168" s="1379"/>
      <c r="T168" s="1379"/>
      <c r="U168" s="1379"/>
      <c r="V168" s="1379"/>
      <c r="W168" s="1379"/>
      <c r="X168" s="1379"/>
      <c r="Y168" s="1379"/>
      <c r="Z168" s="1379"/>
      <c r="AA168" s="1379"/>
    </row>
    <row r="169" spans="2:27" ht="17.25" customHeight="1" outlineLevel="1" x14ac:dyDescent="0.25">
      <c r="B169" s="582" t="s">
        <v>117</v>
      </c>
      <c r="C169" s="596"/>
      <c r="D169" s="596"/>
      <c r="E169" s="597"/>
      <c r="F169" s="597"/>
      <c r="G169" s="1209"/>
      <c r="H169" s="1380" t="e">
        <f>H160+(SUM(H162:H167))</f>
        <v>#VALUE!</v>
      </c>
      <c r="I169" s="1380" t="e">
        <f t="shared" ref="I169:AA169" si="48">I160+(SUM(I162:I167))</f>
        <v>#VALUE!</v>
      </c>
      <c r="J169" s="1380" t="e">
        <f t="shared" si="48"/>
        <v>#VALUE!</v>
      </c>
      <c r="K169" s="1380" t="e">
        <f t="shared" si="48"/>
        <v>#VALUE!</v>
      </c>
      <c r="L169" s="1380" t="e">
        <f t="shared" si="48"/>
        <v>#VALUE!</v>
      </c>
      <c r="M169" s="1380" t="e">
        <f t="shared" si="48"/>
        <v>#VALUE!</v>
      </c>
      <c r="N169" s="1380" t="e">
        <f t="shared" si="48"/>
        <v>#VALUE!</v>
      </c>
      <c r="O169" s="1380" t="e">
        <f t="shared" si="48"/>
        <v>#VALUE!</v>
      </c>
      <c r="P169" s="1380" t="e">
        <f t="shared" si="48"/>
        <v>#VALUE!</v>
      </c>
      <c r="Q169" s="1380" t="e">
        <f t="shared" si="48"/>
        <v>#VALUE!</v>
      </c>
      <c r="R169" s="1380" t="e">
        <f t="shared" si="48"/>
        <v>#VALUE!</v>
      </c>
      <c r="S169" s="1380" t="e">
        <f t="shared" si="48"/>
        <v>#VALUE!</v>
      </c>
      <c r="T169" s="1380" t="e">
        <f t="shared" si="48"/>
        <v>#VALUE!</v>
      </c>
      <c r="U169" s="1380" t="e">
        <f t="shared" si="48"/>
        <v>#VALUE!</v>
      </c>
      <c r="V169" s="1380" t="e">
        <f t="shared" si="48"/>
        <v>#VALUE!</v>
      </c>
      <c r="W169" s="1380" t="e">
        <f t="shared" si="48"/>
        <v>#VALUE!</v>
      </c>
      <c r="X169" s="1380" t="e">
        <f t="shared" si="48"/>
        <v>#VALUE!</v>
      </c>
      <c r="Y169" s="1380" t="e">
        <f t="shared" si="48"/>
        <v>#VALUE!</v>
      </c>
      <c r="Z169" s="1380" t="e">
        <f t="shared" si="48"/>
        <v>#VALUE!</v>
      </c>
      <c r="AA169" s="1380" t="e">
        <f t="shared" si="48"/>
        <v>#VALUE!</v>
      </c>
    </row>
    <row r="170" spans="2:27" ht="6.75" customHeight="1" outlineLevel="1" x14ac:dyDescent="0.25">
      <c r="B170" s="575"/>
      <c r="C170" s="38"/>
      <c r="D170" s="38"/>
      <c r="E170" s="210"/>
      <c r="F170" s="210"/>
      <c r="G170" s="1205"/>
      <c r="H170" s="1379"/>
      <c r="I170" s="1379"/>
      <c r="J170" s="1379"/>
      <c r="K170" s="1379"/>
      <c r="L170" s="1379"/>
      <c r="M170" s="1379"/>
      <c r="N170" s="1379"/>
      <c r="O170" s="1379"/>
      <c r="P170" s="1379"/>
      <c r="Q170" s="1379"/>
      <c r="R170" s="1379"/>
      <c r="S170" s="1379"/>
      <c r="T170" s="1379"/>
      <c r="U170" s="1379"/>
      <c r="V170" s="1379"/>
      <c r="W170" s="1379"/>
      <c r="X170" s="1379"/>
      <c r="Y170" s="1379"/>
      <c r="Z170" s="1379"/>
      <c r="AA170" s="1379"/>
    </row>
    <row r="171" spans="2:27" ht="17.25" customHeight="1" outlineLevel="1" x14ac:dyDescent="0.25">
      <c r="B171" s="575" t="s">
        <v>118</v>
      </c>
      <c r="C171" s="38"/>
      <c r="D171" s="38"/>
      <c r="E171" s="210"/>
      <c r="F171" s="210"/>
      <c r="G171" s="1205"/>
      <c r="H171" s="1379" t="e">
        <f>IF(H169&lt;0,(-H169*'III. Inputs, Renewable Energy'!$U$18),(-'VI. LCOE, Ren. En. Grid Intconx'!H169*'III. Inputs, Renewable Energy'!$U$18))</f>
        <v>#VALUE!</v>
      </c>
      <c r="I171" s="1379" t="e">
        <f>IF(I169&lt;0,(-I169*'III. Inputs, Renewable Energy'!$U$18),(-'VI. LCOE, Ren. En. Grid Intconx'!I169*'III. Inputs, Renewable Energy'!$U$18))</f>
        <v>#VALUE!</v>
      </c>
      <c r="J171" s="1379" t="e">
        <f>IF(J169&lt;0,(-J169*'III. Inputs, Renewable Energy'!$U$18),(-'VI. LCOE, Ren. En. Grid Intconx'!J169*'III. Inputs, Renewable Energy'!$U$18))</f>
        <v>#VALUE!</v>
      </c>
      <c r="K171" s="1379" t="e">
        <f>IF(K169&lt;0,(-K169*'III. Inputs, Renewable Energy'!$U$18),(-'VI. LCOE, Ren. En. Grid Intconx'!K169*'III. Inputs, Renewable Energy'!$U$18))</f>
        <v>#VALUE!</v>
      </c>
      <c r="L171" s="1379" t="e">
        <f>IF(L169&lt;0,(-L169*'III. Inputs, Renewable Energy'!$U$18),(-'VI. LCOE, Ren. En. Grid Intconx'!L169*'III. Inputs, Renewable Energy'!$U$18))</f>
        <v>#VALUE!</v>
      </c>
      <c r="M171" s="1379" t="e">
        <f>IF(M169&lt;0,(-M169*'III. Inputs, Renewable Energy'!$U$18),(-'VI. LCOE, Ren. En. Grid Intconx'!M169*'III. Inputs, Renewable Energy'!$U$18))</f>
        <v>#VALUE!</v>
      </c>
      <c r="N171" s="1379" t="e">
        <f>IF(N169&lt;0,(-N169*'III. Inputs, Renewable Energy'!$U$18),(-'VI. LCOE, Ren. En. Grid Intconx'!N169*'III. Inputs, Renewable Energy'!$U$18))</f>
        <v>#VALUE!</v>
      </c>
      <c r="O171" s="1379" t="e">
        <f>IF(O169&lt;0,(-O169*'III. Inputs, Renewable Energy'!$U$18),(-'VI. LCOE, Ren. En. Grid Intconx'!O169*'III. Inputs, Renewable Energy'!$U$18))</f>
        <v>#VALUE!</v>
      </c>
      <c r="P171" s="1379" t="e">
        <f>IF(P169&lt;0,(-P169*'III. Inputs, Renewable Energy'!$U$18),(-'VI. LCOE, Ren. En. Grid Intconx'!P169*'III. Inputs, Renewable Energy'!$U$18))</f>
        <v>#VALUE!</v>
      </c>
      <c r="Q171" s="1379" t="e">
        <f>IF(Q169&lt;0,(-Q169*'III. Inputs, Renewable Energy'!$U$18),(-'VI. LCOE, Ren. En. Grid Intconx'!Q169*'III. Inputs, Renewable Energy'!$U$18))</f>
        <v>#VALUE!</v>
      </c>
      <c r="R171" s="1379" t="e">
        <f>IF(R169&lt;0,(-R169*'III. Inputs, Renewable Energy'!$U$18),(-'VI. LCOE, Ren. En. Grid Intconx'!R169*'III. Inputs, Renewable Energy'!$U$18))</f>
        <v>#VALUE!</v>
      </c>
      <c r="S171" s="1379" t="e">
        <f>IF(S169&lt;0,(-S169*'III. Inputs, Renewable Energy'!$U$18),(-'VI. LCOE, Ren. En. Grid Intconx'!S169*'III. Inputs, Renewable Energy'!$U$18))</f>
        <v>#VALUE!</v>
      </c>
      <c r="T171" s="1379" t="e">
        <f>IF(T169&lt;0,(-T169*'III. Inputs, Renewable Energy'!$U$18),(-'VI. LCOE, Ren. En. Grid Intconx'!T169*'III. Inputs, Renewable Energy'!$U$18))</f>
        <v>#VALUE!</v>
      </c>
      <c r="U171" s="1379" t="e">
        <f>IF(U169&lt;0,(-U169*'III. Inputs, Renewable Energy'!$U$18),(-'VI. LCOE, Ren. En. Grid Intconx'!U169*'III. Inputs, Renewable Energy'!$U$18))</f>
        <v>#VALUE!</v>
      </c>
      <c r="V171" s="1379" t="e">
        <f>IF(V169&lt;0,(-V169*'III. Inputs, Renewable Energy'!$U$18),(-'VI. LCOE, Ren. En. Grid Intconx'!V169*'III. Inputs, Renewable Energy'!$U$18))</f>
        <v>#VALUE!</v>
      </c>
      <c r="W171" s="1379" t="e">
        <f>IF(W169&lt;0,(-W169*'III. Inputs, Renewable Energy'!$U$18),(-'VI. LCOE, Ren. En. Grid Intconx'!W169*'III. Inputs, Renewable Energy'!$U$18))</f>
        <v>#VALUE!</v>
      </c>
      <c r="X171" s="1379" t="e">
        <f>IF(X169&lt;0,(-X169*'III. Inputs, Renewable Energy'!$U$18),(-'VI. LCOE, Ren. En. Grid Intconx'!X169*'III. Inputs, Renewable Energy'!$U$18))</f>
        <v>#VALUE!</v>
      </c>
      <c r="Y171" s="1379" t="e">
        <f>IF(Y169&lt;0,(-Y169*'III. Inputs, Renewable Energy'!$U$18),(-'VI. LCOE, Ren. En. Grid Intconx'!Y169*'III. Inputs, Renewable Energy'!$U$18))</f>
        <v>#VALUE!</v>
      </c>
      <c r="Z171" s="1379" t="e">
        <f>IF(Z169&lt;0,(-Z169*'III. Inputs, Renewable Energy'!$U$18),(-'VI. LCOE, Ren. En. Grid Intconx'!Z169*'III. Inputs, Renewable Energy'!$U$18))</f>
        <v>#VALUE!</v>
      </c>
      <c r="AA171" s="1379" t="e">
        <f>IF(AA169&lt;0,(-AA169*'III. Inputs, Renewable Energy'!$U$18),(-'VI. LCOE, Ren. En. Grid Intconx'!AA169*'III. Inputs, Renewable Energy'!$U$18))</f>
        <v>#VALUE!</v>
      </c>
    </row>
    <row r="172" spans="2:27" ht="6.75" customHeight="1" outlineLevel="1" x14ac:dyDescent="0.25">
      <c r="B172" s="583"/>
      <c r="C172" s="39"/>
      <c r="D172" s="39"/>
      <c r="E172" s="212"/>
      <c r="F172" s="212"/>
      <c r="G172" s="1207"/>
      <c r="H172" s="1381"/>
      <c r="I172" s="1381"/>
      <c r="J172" s="1381"/>
      <c r="K172" s="1381"/>
      <c r="L172" s="1381"/>
      <c r="M172" s="1381"/>
      <c r="N172" s="1381"/>
      <c r="O172" s="1381"/>
      <c r="P172" s="1381"/>
      <c r="Q172" s="1381"/>
      <c r="R172" s="1381"/>
      <c r="S172" s="1381"/>
      <c r="T172" s="1381"/>
      <c r="U172" s="1381"/>
      <c r="V172" s="1381"/>
      <c r="W172" s="1381"/>
      <c r="X172" s="1381"/>
      <c r="Y172" s="1381"/>
      <c r="Z172" s="1381"/>
      <c r="AA172" s="1381"/>
    </row>
    <row r="173" spans="2:27" ht="17.25" customHeight="1" outlineLevel="1" x14ac:dyDescent="0.25">
      <c r="B173" s="582" t="s">
        <v>119</v>
      </c>
      <c r="C173" s="596"/>
      <c r="D173" s="596"/>
      <c r="E173" s="597"/>
      <c r="F173" s="597"/>
      <c r="G173" s="1209"/>
      <c r="H173" s="1380" t="e">
        <f>H169+H171</f>
        <v>#VALUE!</v>
      </c>
      <c r="I173" s="1380" t="e">
        <f t="shared" ref="I173:AA173" si="49">I169+I171</f>
        <v>#VALUE!</v>
      </c>
      <c r="J173" s="1380" t="e">
        <f t="shared" si="49"/>
        <v>#VALUE!</v>
      </c>
      <c r="K173" s="1380" t="e">
        <f t="shared" si="49"/>
        <v>#VALUE!</v>
      </c>
      <c r="L173" s="1380" t="e">
        <f t="shared" si="49"/>
        <v>#VALUE!</v>
      </c>
      <c r="M173" s="1380" t="e">
        <f t="shared" si="49"/>
        <v>#VALUE!</v>
      </c>
      <c r="N173" s="1380" t="e">
        <f t="shared" si="49"/>
        <v>#VALUE!</v>
      </c>
      <c r="O173" s="1380" t="e">
        <f t="shared" si="49"/>
        <v>#VALUE!</v>
      </c>
      <c r="P173" s="1380" t="e">
        <f t="shared" si="49"/>
        <v>#VALUE!</v>
      </c>
      <c r="Q173" s="1380" t="e">
        <f t="shared" si="49"/>
        <v>#VALUE!</v>
      </c>
      <c r="R173" s="1380" t="e">
        <f t="shared" si="49"/>
        <v>#VALUE!</v>
      </c>
      <c r="S173" s="1380" t="e">
        <f t="shared" si="49"/>
        <v>#VALUE!</v>
      </c>
      <c r="T173" s="1380" t="e">
        <f t="shared" si="49"/>
        <v>#VALUE!</v>
      </c>
      <c r="U173" s="1380" t="e">
        <f t="shared" si="49"/>
        <v>#VALUE!</v>
      </c>
      <c r="V173" s="1380" t="e">
        <f t="shared" si="49"/>
        <v>#VALUE!</v>
      </c>
      <c r="W173" s="1380" t="e">
        <f t="shared" si="49"/>
        <v>#VALUE!</v>
      </c>
      <c r="X173" s="1380" t="e">
        <f t="shared" si="49"/>
        <v>#VALUE!</v>
      </c>
      <c r="Y173" s="1380" t="e">
        <f t="shared" si="49"/>
        <v>#VALUE!</v>
      </c>
      <c r="Z173" s="1380" t="e">
        <f t="shared" si="49"/>
        <v>#VALUE!</v>
      </c>
      <c r="AA173" s="1380" t="e">
        <f t="shared" si="49"/>
        <v>#VALUE!</v>
      </c>
    </row>
    <row r="174" spans="2:27" ht="17.25" customHeight="1" outlineLevel="1" x14ac:dyDescent="0.25">
      <c r="B174" s="575"/>
      <c r="C174" s="38"/>
      <c r="D174" s="38"/>
      <c r="E174" s="210"/>
      <c r="F174" s="210"/>
      <c r="G174" s="1205"/>
      <c r="H174" s="1379"/>
      <c r="I174" s="1379"/>
      <c r="J174" s="1379"/>
      <c r="K174" s="1379"/>
      <c r="L174" s="1379"/>
      <c r="M174" s="1379"/>
      <c r="N174" s="1379"/>
      <c r="O174" s="1379"/>
      <c r="P174" s="1379"/>
      <c r="Q174" s="1379"/>
      <c r="R174" s="1379"/>
      <c r="S174" s="1379"/>
      <c r="T174" s="1379"/>
      <c r="U174" s="1379"/>
      <c r="V174" s="1379"/>
      <c r="W174" s="1379"/>
      <c r="X174" s="1379"/>
      <c r="Y174" s="1379"/>
      <c r="Z174" s="1379"/>
      <c r="AA174" s="1379"/>
    </row>
    <row r="175" spans="2:27" ht="17.25" customHeight="1" outlineLevel="1" x14ac:dyDescent="0.25">
      <c r="B175" s="575" t="s">
        <v>120</v>
      </c>
      <c r="C175" s="38"/>
      <c r="D175" s="38"/>
      <c r="E175" s="210"/>
      <c r="F175" s="210" t="s">
        <v>22</v>
      </c>
      <c r="G175" s="1369">
        <f>-('III. Inputs, Renewable Energy'!$U$14*'III. Inputs, Renewable Energy'!$U$15)</f>
        <v>0</v>
      </c>
      <c r="H175" s="1206"/>
      <c r="I175" s="1206"/>
      <c r="J175" s="1206"/>
      <c r="K175" s="1206"/>
      <c r="L175" s="1206"/>
      <c r="M175" s="1206"/>
      <c r="N175" s="1206"/>
      <c r="O175" s="1206"/>
      <c r="P175" s="1206"/>
      <c r="Q175" s="1206"/>
      <c r="R175" s="1206"/>
      <c r="S175" s="1206"/>
      <c r="T175" s="1206"/>
      <c r="U175" s="1206"/>
      <c r="V175" s="1206"/>
      <c r="W175" s="1206"/>
      <c r="X175" s="1206"/>
      <c r="Y175" s="1206"/>
      <c r="Z175" s="1206"/>
      <c r="AA175" s="1206"/>
    </row>
    <row r="176" spans="2:27" ht="17.25" customHeight="1" outlineLevel="1" x14ac:dyDescent="0.25">
      <c r="B176" s="583" t="s">
        <v>121</v>
      </c>
      <c r="C176" s="39"/>
      <c r="D176" s="39"/>
      <c r="E176" s="212"/>
      <c r="F176" s="212" t="s">
        <v>22</v>
      </c>
      <c r="G176" s="1373">
        <f>('III. Inputs, Renewable Energy'!$U$14*'III. Inputs, Renewable Energy'!$U$15*'III. Inputs, Renewable Energy'!$V$29)</f>
        <v>0</v>
      </c>
      <c r="H176" s="1208"/>
      <c r="I176" s="1208"/>
      <c r="J176" s="1208"/>
      <c r="K176" s="1208"/>
      <c r="L176" s="1208"/>
      <c r="M176" s="1208"/>
      <c r="N176" s="1208"/>
      <c r="O176" s="1208"/>
      <c r="P176" s="1208"/>
      <c r="Q176" s="1208"/>
      <c r="R176" s="1208"/>
      <c r="S176" s="1208"/>
      <c r="T176" s="1208"/>
      <c r="U176" s="1208"/>
      <c r="V176" s="1208"/>
      <c r="W176" s="1208"/>
      <c r="X176" s="1208"/>
      <c r="Y176" s="1208"/>
      <c r="Z176" s="1208"/>
      <c r="AA176" s="1208"/>
    </row>
    <row r="177" spans="2:27" ht="17.25" customHeight="1" outlineLevel="1" x14ac:dyDescent="0.25">
      <c r="B177" s="575" t="s">
        <v>122</v>
      </c>
      <c r="C177" s="38"/>
      <c r="D177" s="38"/>
      <c r="E177" s="210"/>
      <c r="F177" s="210" t="s">
        <v>22</v>
      </c>
      <c r="G177" s="1369">
        <f>G175+G176</f>
        <v>0</v>
      </c>
      <c r="H177" s="1196"/>
      <c r="I177" s="1196"/>
      <c r="J177" s="1196"/>
      <c r="K177" s="1196"/>
      <c r="L177" s="1196"/>
      <c r="M177" s="1196"/>
      <c r="N177" s="1196"/>
      <c r="O177" s="1196"/>
      <c r="P177" s="1196"/>
      <c r="Q177" s="1196"/>
      <c r="R177" s="1196"/>
      <c r="S177" s="1196"/>
      <c r="T177" s="1196"/>
      <c r="U177" s="1196"/>
      <c r="V177" s="1196"/>
      <c r="W177" s="1196"/>
      <c r="X177" s="1196"/>
      <c r="Y177" s="1196"/>
      <c r="Z177" s="1196"/>
      <c r="AA177" s="1196"/>
    </row>
    <row r="178" spans="2:27" ht="10.5" customHeight="1" outlineLevel="1" x14ac:dyDescent="0.25">
      <c r="B178" s="575"/>
      <c r="C178" s="38"/>
      <c r="D178" s="38"/>
      <c r="E178" s="210"/>
      <c r="F178" s="210"/>
      <c r="G178" s="1196"/>
      <c r="H178" s="1196"/>
      <c r="I178" s="1196"/>
      <c r="J178" s="1196"/>
      <c r="K178" s="1196"/>
      <c r="L178" s="1196"/>
      <c r="M178" s="1196"/>
      <c r="N178" s="1196"/>
      <c r="O178" s="1196"/>
      <c r="P178" s="1196"/>
      <c r="Q178" s="1196"/>
      <c r="R178" s="1196"/>
      <c r="S178" s="1196"/>
      <c r="T178" s="1196"/>
      <c r="U178" s="1196"/>
      <c r="V178" s="1196"/>
      <c r="W178" s="1196"/>
      <c r="X178" s="1196"/>
      <c r="Y178" s="1196"/>
      <c r="Z178" s="1196"/>
      <c r="AA178" s="1196"/>
    </row>
    <row r="179" spans="2:27" ht="6.75" customHeight="1" outlineLevel="1" x14ac:dyDescent="0.25">
      <c r="B179" s="575"/>
      <c r="C179" s="38"/>
      <c r="D179" s="38"/>
      <c r="E179" s="210"/>
      <c r="F179" s="210"/>
      <c r="G179" s="1196"/>
      <c r="H179" s="1196"/>
      <c r="I179" s="1196"/>
      <c r="J179" s="1196"/>
      <c r="K179" s="1196"/>
      <c r="L179" s="1196"/>
      <c r="M179" s="1196"/>
      <c r="N179" s="1196"/>
      <c r="O179" s="1196"/>
      <c r="P179" s="1196"/>
      <c r="Q179" s="1196"/>
      <c r="R179" s="1196"/>
      <c r="S179" s="1196"/>
      <c r="T179" s="1196"/>
      <c r="U179" s="1196"/>
      <c r="V179" s="1196"/>
      <c r="W179" s="1196"/>
      <c r="X179" s="1196"/>
      <c r="Y179" s="1196"/>
      <c r="Z179" s="1196"/>
      <c r="AA179" s="1196"/>
    </row>
    <row r="180" spans="2:27" ht="17.25" customHeight="1" outlineLevel="1" x14ac:dyDescent="0.25">
      <c r="B180" s="575" t="s">
        <v>123</v>
      </c>
      <c r="C180" s="38"/>
      <c r="D180" s="38"/>
      <c r="E180" s="210"/>
      <c r="F180" s="210"/>
      <c r="G180" s="1196"/>
      <c r="H180" s="1369" t="e">
        <f>H173</f>
        <v>#VALUE!</v>
      </c>
      <c r="I180" s="1369" t="e">
        <f t="shared" ref="I180:AA180" si="50">I173</f>
        <v>#VALUE!</v>
      </c>
      <c r="J180" s="1369" t="e">
        <f t="shared" si="50"/>
        <v>#VALUE!</v>
      </c>
      <c r="K180" s="1369" t="e">
        <f t="shared" si="50"/>
        <v>#VALUE!</v>
      </c>
      <c r="L180" s="1369" t="e">
        <f t="shared" si="50"/>
        <v>#VALUE!</v>
      </c>
      <c r="M180" s="1369" t="e">
        <f t="shared" si="50"/>
        <v>#VALUE!</v>
      </c>
      <c r="N180" s="1369" t="e">
        <f t="shared" si="50"/>
        <v>#VALUE!</v>
      </c>
      <c r="O180" s="1369" t="e">
        <f t="shared" si="50"/>
        <v>#VALUE!</v>
      </c>
      <c r="P180" s="1369" t="e">
        <f t="shared" si="50"/>
        <v>#VALUE!</v>
      </c>
      <c r="Q180" s="1369" t="e">
        <f t="shared" si="50"/>
        <v>#VALUE!</v>
      </c>
      <c r="R180" s="1369" t="e">
        <f t="shared" si="50"/>
        <v>#VALUE!</v>
      </c>
      <c r="S180" s="1369" t="e">
        <f t="shared" si="50"/>
        <v>#VALUE!</v>
      </c>
      <c r="T180" s="1369" t="e">
        <f t="shared" si="50"/>
        <v>#VALUE!</v>
      </c>
      <c r="U180" s="1369" t="e">
        <f t="shared" si="50"/>
        <v>#VALUE!</v>
      </c>
      <c r="V180" s="1369" t="e">
        <f t="shared" si="50"/>
        <v>#VALUE!</v>
      </c>
      <c r="W180" s="1369" t="e">
        <f t="shared" si="50"/>
        <v>#VALUE!</v>
      </c>
      <c r="X180" s="1369" t="e">
        <f t="shared" si="50"/>
        <v>#VALUE!</v>
      </c>
      <c r="Y180" s="1369" t="e">
        <f t="shared" si="50"/>
        <v>#VALUE!</v>
      </c>
      <c r="Z180" s="1369" t="e">
        <f t="shared" si="50"/>
        <v>#VALUE!</v>
      </c>
      <c r="AA180" s="1369" t="e">
        <f t="shared" si="50"/>
        <v>#VALUE!</v>
      </c>
    </row>
    <row r="181" spans="2:27" ht="17.25" customHeight="1" outlineLevel="1" x14ac:dyDescent="0.25">
      <c r="B181" s="575" t="s">
        <v>124</v>
      </c>
      <c r="C181" s="38"/>
      <c r="D181" s="38"/>
      <c r="E181" s="210"/>
      <c r="F181" s="210" t="s">
        <v>22</v>
      </c>
      <c r="G181" s="1196"/>
      <c r="H181" s="1369" t="e">
        <f t="shared" ref="H181:AA181" si="51">-H158</f>
        <v>#VALUE!</v>
      </c>
      <c r="I181" s="1369" t="e">
        <f t="shared" si="51"/>
        <v>#VALUE!</v>
      </c>
      <c r="J181" s="1369" t="e">
        <f t="shared" si="51"/>
        <v>#VALUE!</v>
      </c>
      <c r="K181" s="1369" t="e">
        <f t="shared" si="51"/>
        <v>#VALUE!</v>
      </c>
      <c r="L181" s="1369" t="e">
        <f t="shared" si="51"/>
        <v>#VALUE!</v>
      </c>
      <c r="M181" s="1369" t="e">
        <f t="shared" si="51"/>
        <v>#VALUE!</v>
      </c>
      <c r="N181" s="1369" t="e">
        <f t="shared" si="51"/>
        <v>#VALUE!</v>
      </c>
      <c r="O181" s="1369" t="e">
        <f t="shared" si="51"/>
        <v>#VALUE!</v>
      </c>
      <c r="P181" s="1369" t="e">
        <f t="shared" si="51"/>
        <v>#VALUE!</v>
      </c>
      <c r="Q181" s="1369" t="e">
        <f t="shared" si="51"/>
        <v>#VALUE!</v>
      </c>
      <c r="R181" s="1369" t="e">
        <f t="shared" si="51"/>
        <v>#VALUE!</v>
      </c>
      <c r="S181" s="1369" t="e">
        <f t="shared" si="51"/>
        <v>#VALUE!</v>
      </c>
      <c r="T181" s="1369" t="e">
        <f t="shared" si="51"/>
        <v>#VALUE!</v>
      </c>
      <c r="U181" s="1369" t="e">
        <f t="shared" si="51"/>
        <v>#VALUE!</v>
      </c>
      <c r="V181" s="1369" t="e">
        <f t="shared" si="51"/>
        <v>#VALUE!</v>
      </c>
      <c r="W181" s="1369" t="e">
        <f t="shared" si="51"/>
        <v>#VALUE!</v>
      </c>
      <c r="X181" s="1369" t="e">
        <f t="shared" si="51"/>
        <v>#VALUE!</v>
      </c>
      <c r="Y181" s="1369" t="e">
        <f t="shared" si="51"/>
        <v>#VALUE!</v>
      </c>
      <c r="Z181" s="1369" t="e">
        <f t="shared" si="51"/>
        <v>#VALUE!</v>
      </c>
      <c r="AA181" s="1369" t="e">
        <f t="shared" si="51"/>
        <v>#VALUE!</v>
      </c>
    </row>
    <row r="182" spans="2:27" ht="17.25" customHeight="1" outlineLevel="1" x14ac:dyDescent="0.25">
      <c r="B182" s="575"/>
      <c r="C182" s="38"/>
      <c r="D182" s="38"/>
      <c r="E182" s="210"/>
      <c r="F182" s="210"/>
      <c r="G182" s="1196"/>
      <c r="H182" s="1369"/>
      <c r="I182" s="1369"/>
      <c r="J182" s="1369"/>
      <c r="K182" s="1369"/>
      <c r="L182" s="1369"/>
      <c r="M182" s="1369"/>
      <c r="N182" s="1369"/>
      <c r="O182" s="1369"/>
      <c r="P182" s="1369"/>
      <c r="Q182" s="1369"/>
      <c r="R182" s="1369"/>
      <c r="S182" s="1369"/>
      <c r="T182" s="1369"/>
      <c r="U182" s="1369"/>
      <c r="V182" s="1369"/>
      <c r="W182" s="1369"/>
      <c r="X182" s="1369"/>
      <c r="Y182" s="1369"/>
      <c r="Z182" s="1369"/>
      <c r="AA182" s="1369"/>
    </row>
    <row r="183" spans="2:27" ht="17.25" customHeight="1" outlineLevel="1" x14ac:dyDescent="0.25">
      <c r="B183" s="575" t="s">
        <v>125</v>
      </c>
      <c r="C183" s="38"/>
      <c r="D183" s="38"/>
      <c r="E183" s="210"/>
      <c r="F183" s="210" t="s">
        <v>22</v>
      </c>
      <c r="G183" s="1196"/>
      <c r="H183" s="1369"/>
      <c r="I183" s="1369"/>
      <c r="J183" s="1369"/>
      <c r="K183" s="1369"/>
      <c r="L183" s="1369"/>
      <c r="M183" s="1369"/>
      <c r="N183" s="1369"/>
      <c r="O183" s="1369"/>
      <c r="P183" s="1369"/>
      <c r="Q183" s="1369"/>
      <c r="R183" s="1369"/>
      <c r="S183" s="1369"/>
      <c r="T183" s="1369"/>
      <c r="U183" s="1369"/>
      <c r="V183" s="1369"/>
      <c r="W183" s="1369"/>
      <c r="X183" s="1369"/>
      <c r="Y183" s="1369"/>
      <c r="Z183" s="1369"/>
      <c r="AA183" s="1369"/>
    </row>
    <row r="184" spans="2:27" ht="17.25" customHeight="1" outlineLevel="1" x14ac:dyDescent="0.25">
      <c r="B184" s="575" t="s">
        <v>126</v>
      </c>
      <c r="C184" s="38"/>
      <c r="D184" s="38"/>
      <c r="E184" s="210"/>
      <c r="F184" s="210" t="s">
        <v>22</v>
      </c>
      <c r="G184" s="1196"/>
      <c r="H184" s="1369"/>
      <c r="I184" s="1369"/>
      <c r="J184" s="1369"/>
      <c r="K184" s="1369"/>
      <c r="L184" s="1369"/>
      <c r="M184" s="1369"/>
      <c r="N184" s="1369"/>
      <c r="O184" s="1369"/>
      <c r="P184" s="1369"/>
      <c r="Q184" s="1369"/>
      <c r="R184" s="1369"/>
      <c r="S184" s="1369"/>
      <c r="T184" s="1369"/>
      <c r="U184" s="1369"/>
      <c r="V184" s="1369"/>
      <c r="W184" s="1369"/>
      <c r="X184" s="1369"/>
      <c r="Y184" s="1369"/>
      <c r="Z184" s="1369"/>
      <c r="AA184" s="1369"/>
    </row>
    <row r="185" spans="2:27" ht="17.25" customHeight="1" outlineLevel="1" x14ac:dyDescent="0.25">
      <c r="B185" s="575" t="s">
        <v>127</v>
      </c>
      <c r="C185" s="38"/>
      <c r="D185" s="38"/>
      <c r="E185" s="210"/>
      <c r="F185" s="210" t="s">
        <v>22</v>
      </c>
      <c r="G185" s="1196"/>
      <c r="H185" s="1369">
        <f>-(H283+H304+H325)</f>
        <v>0</v>
      </c>
      <c r="I185" s="1369">
        <f t="shared" ref="I185:AA185" si="52">-(I283+I304+I325)</f>
        <v>0</v>
      </c>
      <c r="J185" s="1369">
        <f t="shared" si="52"/>
        <v>0</v>
      </c>
      <c r="K185" s="1369">
        <f t="shared" si="52"/>
        <v>0</v>
      </c>
      <c r="L185" s="1369">
        <f t="shared" si="52"/>
        <v>0</v>
      </c>
      <c r="M185" s="1369">
        <f t="shared" si="52"/>
        <v>0</v>
      </c>
      <c r="N185" s="1369">
        <f t="shared" si="52"/>
        <v>0</v>
      </c>
      <c r="O185" s="1369">
        <f t="shared" si="52"/>
        <v>0</v>
      </c>
      <c r="P185" s="1369">
        <f t="shared" si="52"/>
        <v>0</v>
      </c>
      <c r="Q185" s="1369">
        <f t="shared" si="52"/>
        <v>0</v>
      </c>
      <c r="R185" s="1369">
        <f t="shared" si="52"/>
        <v>0</v>
      </c>
      <c r="S185" s="1369">
        <f t="shared" si="52"/>
        <v>0</v>
      </c>
      <c r="T185" s="1369">
        <f t="shared" si="52"/>
        <v>0</v>
      </c>
      <c r="U185" s="1369">
        <f t="shared" si="52"/>
        <v>0</v>
      </c>
      <c r="V185" s="1369">
        <f t="shared" si="52"/>
        <v>0</v>
      </c>
      <c r="W185" s="1369">
        <f t="shared" si="52"/>
        <v>0</v>
      </c>
      <c r="X185" s="1369">
        <f t="shared" si="52"/>
        <v>0</v>
      </c>
      <c r="Y185" s="1369">
        <f t="shared" si="52"/>
        <v>0</v>
      </c>
      <c r="Z185" s="1369">
        <f t="shared" si="52"/>
        <v>0</v>
      </c>
      <c r="AA185" s="1369">
        <f t="shared" si="52"/>
        <v>0</v>
      </c>
    </row>
    <row r="186" spans="2:27" ht="17.25" customHeight="1" outlineLevel="1" x14ac:dyDescent="0.25">
      <c r="B186" s="583" t="s">
        <v>128</v>
      </c>
      <c r="C186" s="39"/>
      <c r="D186" s="39"/>
      <c r="E186" s="212"/>
      <c r="F186" s="212" t="s">
        <v>22</v>
      </c>
      <c r="G186" s="1197"/>
      <c r="H186" s="1373"/>
      <c r="I186" s="1373"/>
      <c r="J186" s="1373"/>
      <c r="K186" s="1373"/>
      <c r="L186" s="1373"/>
      <c r="M186" s="1373"/>
      <c r="N186" s="1373"/>
      <c r="O186" s="1373"/>
      <c r="P186" s="1373"/>
      <c r="Q186" s="1373"/>
      <c r="R186" s="1373"/>
      <c r="S186" s="1373"/>
      <c r="T186" s="1373"/>
      <c r="U186" s="1373"/>
      <c r="V186" s="1373"/>
      <c r="W186" s="1373"/>
      <c r="X186" s="1373"/>
      <c r="Y186" s="1373"/>
      <c r="Z186" s="1373"/>
      <c r="AA186" s="1373"/>
    </row>
    <row r="187" spans="2:27" ht="17.25" customHeight="1" outlineLevel="1" x14ac:dyDescent="0.25">
      <c r="B187" s="575" t="s">
        <v>129</v>
      </c>
      <c r="C187" s="38"/>
      <c r="D187" s="38"/>
      <c r="E187" s="210"/>
      <c r="F187" s="210" t="s">
        <v>22</v>
      </c>
      <c r="G187" s="1369">
        <f>G177</f>
        <v>0</v>
      </c>
      <c r="H187" s="1369" t="e">
        <f>H180+H181+H185</f>
        <v>#VALUE!</v>
      </c>
      <c r="I187" s="1369" t="e">
        <f t="shared" ref="I187:AA187" si="53">I180+I181+I185</f>
        <v>#VALUE!</v>
      </c>
      <c r="J187" s="1369" t="e">
        <f t="shared" si="53"/>
        <v>#VALUE!</v>
      </c>
      <c r="K187" s="1369" t="e">
        <f t="shared" si="53"/>
        <v>#VALUE!</v>
      </c>
      <c r="L187" s="1369" t="e">
        <f t="shared" si="53"/>
        <v>#VALUE!</v>
      </c>
      <c r="M187" s="1369" t="e">
        <f t="shared" si="53"/>
        <v>#VALUE!</v>
      </c>
      <c r="N187" s="1369" t="e">
        <f t="shared" si="53"/>
        <v>#VALUE!</v>
      </c>
      <c r="O187" s="1369" t="e">
        <f t="shared" si="53"/>
        <v>#VALUE!</v>
      </c>
      <c r="P187" s="1369" t="e">
        <f t="shared" si="53"/>
        <v>#VALUE!</v>
      </c>
      <c r="Q187" s="1369" t="e">
        <f t="shared" si="53"/>
        <v>#VALUE!</v>
      </c>
      <c r="R187" s="1369" t="e">
        <f t="shared" si="53"/>
        <v>#VALUE!</v>
      </c>
      <c r="S187" s="1369" t="e">
        <f t="shared" si="53"/>
        <v>#VALUE!</v>
      </c>
      <c r="T187" s="1369" t="e">
        <f t="shared" si="53"/>
        <v>#VALUE!</v>
      </c>
      <c r="U187" s="1369" t="e">
        <f t="shared" si="53"/>
        <v>#VALUE!</v>
      </c>
      <c r="V187" s="1369" t="e">
        <f t="shared" si="53"/>
        <v>#VALUE!</v>
      </c>
      <c r="W187" s="1369" t="e">
        <f t="shared" si="53"/>
        <v>#VALUE!</v>
      </c>
      <c r="X187" s="1369" t="e">
        <f t="shared" si="53"/>
        <v>#VALUE!</v>
      </c>
      <c r="Y187" s="1369" t="e">
        <f t="shared" si="53"/>
        <v>#VALUE!</v>
      </c>
      <c r="Z187" s="1369" t="e">
        <f t="shared" si="53"/>
        <v>#VALUE!</v>
      </c>
      <c r="AA187" s="1369" t="e">
        <f t="shared" si="53"/>
        <v>#VALUE!</v>
      </c>
    </row>
    <row r="188" spans="2:27" ht="7.5" customHeight="1" outlineLevel="1" x14ac:dyDescent="0.25">
      <c r="B188" s="575"/>
      <c r="C188" s="38"/>
      <c r="D188" s="38"/>
      <c r="E188" s="210"/>
      <c r="F188" s="210"/>
      <c r="G188" s="1369"/>
      <c r="H188" s="1196"/>
      <c r="I188" s="1196"/>
      <c r="J188" s="1196"/>
      <c r="K188" s="1196"/>
      <c r="L188" s="1196"/>
      <c r="M188" s="1196"/>
      <c r="N188" s="1196"/>
      <c r="O188" s="1196"/>
      <c r="P188" s="1196"/>
      <c r="Q188" s="1196"/>
      <c r="R188" s="1196"/>
      <c r="S188" s="1196"/>
      <c r="T188" s="1196"/>
      <c r="U188" s="1196"/>
      <c r="V188" s="1196"/>
      <c r="W188" s="1196"/>
      <c r="X188" s="1196"/>
      <c r="Y188" s="1196"/>
      <c r="Z188" s="1196"/>
      <c r="AA188" s="1196"/>
    </row>
    <row r="189" spans="2:27" ht="17.25" customHeight="1" outlineLevel="1" x14ac:dyDescent="0.25">
      <c r="B189" s="575" t="s">
        <v>130</v>
      </c>
      <c r="C189" s="38"/>
      <c r="D189" s="38"/>
      <c r="E189" s="38"/>
      <c r="F189" s="38"/>
      <c r="G189" s="1369" t="e">
        <f>NPV($G$136,G187:AA187)</f>
        <v>#VALUE!</v>
      </c>
      <c r="H189" s="1196"/>
      <c r="I189" s="1196"/>
      <c r="J189" s="1196"/>
      <c r="K189" s="1196"/>
      <c r="L189" s="1196"/>
      <c r="M189" s="1196"/>
      <c r="N189" s="1196"/>
      <c r="O189" s="1196"/>
      <c r="P189" s="1196"/>
      <c r="Q189" s="1196"/>
      <c r="R189" s="1196"/>
      <c r="S189" s="1196"/>
      <c r="T189" s="1196"/>
      <c r="U189" s="1196"/>
      <c r="V189" s="1196"/>
      <c r="W189" s="1196"/>
      <c r="X189" s="1196"/>
      <c r="Y189" s="1196"/>
      <c r="Z189" s="1196"/>
      <c r="AA189" s="1196"/>
    </row>
    <row r="190" spans="2:27" ht="5.25" customHeight="1" outlineLevel="1" thickBot="1" x14ac:dyDescent="0.3">
      <c r="B190" s="598"/>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row>
    <row r="191" spans="2:27" x14ac:dyDescent="0.25"/>
    <row r="192" spans="2:27" x14ac:dyDescent="0.25"/>
    <row r="193" spans="1:28" x14ac:dyDescent="0.25"/>
    <row r="194" spans="1:28" s="8" customFormat="1" ht="12.75" customHeight="1" x14ac:dyDescent="0.25">
      <c r="A194" s="44" t="s">
        <v>262</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3" t="s">
        <v>58</v>
      </c>
      <c r="C196" s="214"/>
      <c r="D196" s="214"/>
      <c r="E196" s="215"/>
      <c r="F196" s="215"/>
      <c r="G196" s="215">
        <v>0</v>
      </c>
      <c r="H196" s="215">
        <v>1</v>
      </c>
      <c r="I196" s="215">
        <v>2</v>
      </c>
      <c r="J196" s="215">
        <v>3</v>
      </c>
      <c r="K196" s="215">
        <v>4</v>
      </c>
      <c r="L196" s="215">
        <v>5</v>
      </c>
      <c r="M196" s="215">
        <v>6</v>
      </c>
      <c r="N196" s="215">
        <v>7</v>
      </c>
      <c r="O196" s="215">
        <v>8</v>
      </c>
      <c r="P196" s="215">
        <v>9</v>
      </c>
      <c r="Q196" s="215">
        <v>10</v>
      </c>
      <c r="R196" s="215">
        <v>11</v>
      </c>
      <c r="S196" s="215">
        <v>12</v>
      </c>
      <c r="T196" s="215">
        <v>13</v>
      </c>
      <c r="U196" s="215">
        <v>14</v>
      </c>
      <c r="V196" s="215">
        <v>15</v>
      </c>
      <c r="W196" s="215">
        <v>16</v>
      </c>
      <c r="X196" s="215">
        <v>17</v>
      </c>
      <c r="Y196" s="215">
        <v>18</v>
      </c>
      <c r="Z196" s="215">
        <v>19</v>
      </c>
      <c r="AA196" s="215">
        <v>20</v>
      </c>
    </row>
    <row r="197" spans="1:28" ht="13.8" thickBot="1" x14ac:dyDescent="0.3">
      <c r="B197" s="33"/>
      <c r="C197" s="34"/>
      <c r="D197" s="34"/>
      <c r="E197" s="208"/>
      <c r="G197" s="208"/>
      <c r="H197" s="208"/>
      <c r="I197" s="208"/>
      <c r="J197" s="208"/>
      <c r="K197" s="208"/>
      <c r="L197" s="208"/>
      <c r="M197" s="208"/>
      <c r="N197" s="208"/>
      <c r="O197" s="208"/>
      <c r="P197" s="208"/>
      <c r="Q197" s="208"/>
      <c r="R197" s="208"/>
      <c r="S197" s="208"/>
      <c r="T197" s="208"/>
      <c r="U197" s="208"/>
      <c r="V197" s="208"/>
      <c r="W197" s="208"/>
      <c r="X197" s="208"/>
      <c r="Y197" s="208"/>
      <c r="Z197" s="208"/>
      <c r="AA197" s="208"/>
    </row>
    <row r="198" spans="1:28" x14ac:dyDescent="0.25">
      <c r="B198" s="537" t="s">
        <v>488</v>
      </c>
      <c r="C198" s="538"/>
      <c r="D198" s="538"/>
      <c r="E198" s="538"/>
      <c r="F198" s="538"/>
      <c r="G198" s="538"/>
      <c r="H198" s="538"/>
      <c r="I198" s="538"/>
      <c r="J198" s="538"/>
      <c r="K198" s="538"/>
      <c r="L198" s="538"/>
      <c r="M198" s="538"/>
      <c r="N198" s="538"/>
      <c r="O198" s="538"/>
      <c r="P198" s="538"/>
      <c r="Q198" s="538"/>
      <c r="R198" s="538"/>
      <c r="S198" s="538"/>
      <c r="T198" s="538"/>
      <c r="U198" s="538"/>
      <c r="V198" s="538"/>
      <c r="W198" s="538"/>
      <c r="X198" s="538"/>
      <c r="Y198" s="538"/>
      <c r="Z198" s="538"/>
      <c r="AA198" s="539"/>
    </row>
    <row r="199" spans="1:28" x14ac:dyDescent="0.25">
      <c r="B199" s="540"/>
      <c r="C199" s="541"/>
      <c r="D199" s="541"/>
      <c r="E199" s="541"/>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2"/>
    </row>
    <row r="200" spans="1:28" x14ac:dyDescent="0.25">
      <c r="B200" s="553" t="s">
        <v>257</v>
      </c>
      <c r="C200" s="541"/>
      <c r="D200" s="541"/>
      <c r="E200" s="541"/>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2"/>
    </row>
    <row r="201" spans="1:28" x14ac:dyDescent="0.25">
      <c r="B201" s="540"/>
      <c r="C201" s="599" t="s">
        <v>68</v>
      </c>
      <c r="D201" s="209" t="s">
        <v>22</v>
      </c>
      <c r="E201" s="541"/>
      <c r="F201" s="541"/>
      <c r="G201" s="1357">
        <f>IF('III. Inputs, Renewable Energy'!$S$31&gt;0,IF('III. Inputs, Renewable Energy'!U243=0,0,((('III. Inputs, Renewable Energy'!U242+('III. Inputs, Renewable Energy'!U238*'III. Inputs, Renewable Energy'!U240*'III. Inputs, Renewable Energy'!U241))*('III. Inputs, Renewable Energy'!U14/'III. Inputs, Renewable Energy'!U243))*'III. Inputs, Renewable Energy'!S29*SUM('III. Inputs, Renewable Energy'!$S$31))),0)</f>
        <v>0</v>
      </c>
      <c r="H201" s="541"/>
      <c r="I201" s="541"/>
      <c r="J201" s="541"/>
      <c r="K201" s="541"/>
      <c r="L201" s="541"/>
      <c r="M201" s="541"/>
      <c r="N201" s="541"/>
      <c r="O201" s="541"/>
      <c r="P201" s="541"/>
      <c r="Q201" s="541"/>
      <c r="R201" s="541"/>
      <c r="S201" s="541"/>
      <c r="T201" s="541"/>
      <c r="U201" s="541"/>
      <c r="V201" s="541"/>
      <c r="W201" s="541"/>
      <c r="X201" s="541"/>
      <c r="Y201" s="541"/>
      <c r="Z201" s="541"/>
      <c r="AA201" s="542"/>
    </row>
    <row r="202" spans="1:28" x14ac:dyDescent="0.25">
      <c r="B202" s="540"/>
      <c r="C202" s="599" t="s">
        <v>69</v>
      </c>
      <c r="D202" s="209" t="s">
        <v>20</v>
      </c>
      <c r="E202" s="541"/>
      <c r="F202" s="541"/>
      <c r="G202" s="600">
        <f>SUM('III. Inputs, Renewable Energy'!$S$43)</f>
        <v>0</v>
      </c>
      <c r="H202" s="541"/>
      <c r="I202" s="541"/>
      <c r="J202" s="541"/>
      <c r="K202" s="541"/>
      <c r="L202" s="541"/>
      <c r="M202" s="541"/>
      <c r="N202" s="541"/>
      <c r="O202" s="541"/>
      <c r="P202" s="541"/>
      <c r="Q202" s="541"/>
      <c r="R202" s="541"/>
      <c r="S202" s="541"/>
      <c r="T202" s="541"/>
      <c r="U202" s="541"/>
      <c r="V202" s="541"/>
      <c r="W202" s="541"/>
      <c r="X202" s="541"/>
      <c r="Y202" s="541"/>
      <c r="Z202" s="541"/>
      <c r="AA202" s="542"/>
    </row>
    <row r="203" spans="1:28" x14ac:dyDescent="0.25">
      <c r="B203" s="540"/>
      <c r="C203" s="599" t="s">
        <v>70</v>
      </c>
      <c r="D203" s="209" t="s">
        <v>16</v>
      </c>
      <c r="E203" s="541"/>
      <c r="F203" s="541"/>
      <c r="G203" s="601">
        <f>SUM('III. Inputs, Renewable Energy'!$S$38)</f>
        <v>0</v>
      </c>
      <c r="H203" s="541"/>
      <c r="I203" s="541"/>
      <c r="J203" s="541"/>
      <c r="K203" s="541"/>
      <c r="L203" s="541"/>
      <c r="M203" s="541"/>
      <c r="N203" s="541"/>
      <c r="O203" s="541"/>
      <c r="P203" s="541"/>
      <c r="Q203" s="541"/>
      <c r="R203" s="541"/>
      <c r="S203" s="541"/>
      <c r="T203" s="541"/>
      <c r="U203" s="541"/>
      <c r="V203" s="541"/>
      <c r="W203" s="541"/>
      <c r="X203" s="541"/>
      <c r="Y203" s="541"/>
      <c r="Z203" s="541"/>
      <c r="AA203" s="542"/>
    </row>
    <row r="204" spans="1:28" x14ac:dyDescent="0.25">
      <c r="B204" s="540"/>
      <c r="C204" s="541"/>
      <c r="D204" s="541"/>
      <c r="E204" s="541"/>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2"/>
    </row>
    <row r="205" spans="1:28" x14ac:dyDescent="0.25">
      <c r="B205" s="540"/>
      <c r="C205" s="602" t="s">
        <v>67</v>
      </c>
      <c r="D205" s="541"/>
      <c r="E205" s="541"/>
      <c r="F205" s="541"/>
      <c r="G205" s="1357"/>
      <c r="H205" s="1357"/>
      <c r="I205" s="1357"/>
      <c r="J205" s="1357"/>
      <c r="K205" s="1357"/>
      <c r="L205" s="1357"/>
      <c r="M205" s="1357"/>
      <c r="N205" s="1357"/>
      <c r="O205" s="1357"/>
      <c r="P205" s="1357"/>
      <c r="Q205" s="1357"/>
      <c r="R205" s="1357"/>
      <c r="S205" s="1357"/>
      <c r="T205" s="1357"/>
      <c r="U205" s="1357"/>
      <c r="V205" s="1357"/>
      <c r="W205" s="1357"/>
      <c r="X205" s="1357"/>
      <c r="Y205" s="1357"/>
      <c r="Z205" s="1357"/>
      <c r="AA205" s="1360"/>
      <c r="AB205" s="249"/>
    </row>
    <row r="206" spans="1:28" x14ac:dyDescent="0.25">
      <c r="B206" s="540"/>
      <c r="C206" s="541" t="s">
        <v>73</v>
      </c>
      <c r="D206" s="541"/>
      <c r="E206" s="541"/>
      <c r="F206" s="541"/>
      <c r="G206" s="1357"/>
      <c r="H206" s="1357">
        <f>IF($G$201=0,0,IF(H$196&gt;$G$202,0,IPMT($G$203,H$196,$G$202,-$G$201)))</f>
        <v>0</v>
      </c>
      <c r="I206" s="1357">
        <f t="shared" ref="I206:AA206" si="54">IF($G$201=0,0,IF(I$196&gt;$G$202,0,IPMT($G$203,I$196,$G$202,-$G$201)))</f>
        <v>0</v>
      </c>
      <c r="J206" s="1357">
        <f t="shared" si="54"/>
        <v>0</v>
      </c>
      <c r="K206" s="1357">
        <f t="shared" si="54"/>
        <v>0</v>
      </c>
      <c r="L206" s="1357">
        <f t="shared" si="54"/>
        <v>0</v>
      </c>
      <c r="M206" s="1357">
        <f t="shared" si="54"/>
        <v>0</v>
      </c>
      <c r="N206" s="1357">
        <f t="shared" si="54"/>
        <v>0</v>
      </c>
      <c r="O206" s="1357">
        <f t="shared" si="54"/>
        <v>0</v>
      </c>
      <c r="P206" s="1357">
        <f t="shared" si="54"/>
        <v>0</v>
      </c>
      <c r="Q206" s="1357">
        <f t="shared" si="54"/>
        <v>0</v>
      </c>
      <c r="R206" s="1357">
        <f t="shared" si="54"/>
        <v>0</v>
      </c>
      <c r="S206" s="1357">
        <f t="shared" si="54"/>
        <v>0</v>
      </c>
      <c r="T206" s="1357">
        <f t="shared" si="54"/>
        <v>0</v>
      </c>
      <c r="U206" s="1357">
        <f t="shared" si="54"/>
        <v>0</v>
      </c>
      <c r="V206" s="1357">
        <f t="shared" si="54"/>
        <v>0</v>
      </c>
      <c r="W206" s="1357">
        <f t="shared" si="54"/>
        <v>0</v>
      </c>
      <c r="X206" s="1357">
        <f t="shared" si="54"/>
        <v>0</v>
      </c>
      <c r="Y206" s="1357">
        <f t="shared" si="54"/>
        <v>0</v>
      </c>
      <c r="Z206" s="1357">
        <f t="shared" si="54"/>
        <v>0</v>
      </c>
      <c r="AA206" s="1360">
        <f t="shared" si="54"/>
        <v>0</v>
      </c>
      <c r="AB206" s="249"/>
    </row>
    <row r="207" spans="1:28" x14ac:dyDescent="0.25">
      <c r="B207" s="540"/>
      <c r="C207" s="551" t="s">
        <v>72</v>
      </c>
      <c r="D207" s="551"/>
      <c r="E207" s="551"/>
      <c r="F207" s="551"/>
      <c r="G207" s="1361"/>
      <c r="H207" s="1361">
        <f>IF(G201=0,0, IF(H$196&gt;$G$202,0,PPMT($G$203,H$196,$G$202,-$G$201)))</f>
        <v>0</v>
      </c>
      <c r="I207" s="1361">
        <f>IF($G$201=0,0, IF(I$196&gt;$G$202,0,PPMT($G$203,I$196,$G$202,-$G$201)))</f>
        <v>0</v>
      </c>
      <c r="J207" s="1361">
        <f t="shared" ref="J207:AA207" si="55">IF($G$201=0,0, IF(J$196&gt;$G$202,0,PPMT($G$203,J$196,$G$202,-$G$201)))</f>
        <v>0</v>
      </c>
      <c r="K207" s="1361">
        <f t="shared" si="55"/>
        <v>0</v>
      </c>
      <c r="L207" s="1361">
        <f t="shared" si="55"/>
        <v>0</v>
      </c>
      <c r="M207" s="1361">
        <f t="shared" si="55"/>
        <v>0</v>
      </c>
      <c r="N207" s="1361">
        <f t="shared" si="55"/>
        <v>0</v>
      </c>
      <c r="O207" s="1361">
        <f t="shared" si="55"/>
        <v>0</v>
      </c>
      <c r="P207" s="1361">
        <f t="shared" si="55"/>
        <v>0</v>
      </c>
      <c r="Q207" s="1361">
        <f t="shared" si="55"/>
        <v>0</v>
      </c>
      <c r="R207" s="1361">
        <f t="shared" si="55"/>
        <v>0</v>
      </c>
      <c r="S207" s="1361">
        <f t="shared" si="55"/>
        <v>0</v>
      </c>
      <c r="T207" s="1361">
        <f t="shared" si="55"/>
        <v>0</v>
      </c>
      <c r="U207" s="1361">
        <f t="shared" si="55"/>
        <v>0</v>
      </c>
      <c r="V207" s="1361">
        <f t="shared" si="55"/>
        <v>0</v>
      </c>
      <c r="W207" s="1361">
        <f t="shared" si="55"/>
        <v>0</v>
      </c>
      <c r="X207" s="1361">
        <f t="shared" si="55"/>
        <v>0</v>
      </c>
      <c r="Y207" s="1361">
        <f t="shared" si="55"/>
        <v>0</v>
      </c>
      <c r="Z207" s="1361">
        <f t="shared" si="55"/>
        <v>0</v>
      </c>
      <c r="AA207" s="1362">
        <f t="shared" si="55"/>
        <v>0</v>
      </c>
      <c r="AB207" s="249"/>
    </row>
    <row r="208" spans="1:28" x14ac:dyDescent="0.25">
      <c r="B208" s="540"/>
      <c r="C208" s="541" t="s">
        <v>74</v>
      </c>
      <c r="D208" s="541"/>
      <c r="E208" s="541"/>
      <c r="F208" s="541"/>
      <c r="G208" s="1357"/>
      <c r="H208" s="1357">
        <f>SUM(H206:H207)</f>
        <v>0</v>
      </c>
      <c r="I208" s="1357">
        <f t="shared" ref="I208:AA208" si="56">SUM(I206:I207)</f>
        <v>0</v>
      </c>
      <c r="J208" s="1357">
        <f t="shared" si="56"/>
        <v>0</v>
      </c>
      <c r="K208" s="1357">
        <f t="shared" si="56"/>
        <v>0</v>
      </c>
      <c r="L208" s="1357">
        <f t="shared" si="56"/>
        <v>0</v>
      </c>
      <c r="M208" s="1357">
        <f t="shared" si="56"/>
        <v>0</v>
      </c>
      <c r="N208" s="1357">
        <f t="shared" si="56"/>
        <v>0</v>
      </c>
      <c r="O208" s="1357">
        <f t="shared" si="56"/>
        <v>0</v>
      </c>
      <c r="P208" s="1357">
        <f t="shared" si="56"/>
        <v>0</v>
      </c>
      <c r="Q208" s="1357">
        <f t="shared" si="56"/>
        <v>0</v>
      </c>
      <c r="R208" s="1357">
        <f t="shared" si="56"/>
        <v>0</v>
      </c>
      <c r="S208" s="1357">
        <f t="shared" si="56"/>
        <v>0</v>
      </c>
      <c r="T208" s="1357">
        <f t="shared" si="56"/>
        <v>0</v>
      </c>
      <c r="U208" s="1357">
        <f t="shared" si="56"/>
        <v>0</v>
      </c>
      <c r="V208" s="1357">
        <f t="shared" si="56"/>
        <v>0</v>
      </c>
      <c r="W208" s="1357">
        <f t="shared" si="56"/>
        <v>0</v>
      </c>
      <c r="X208" s="1357">
        <f t="shared" si="56"/>
        <v>0</v>
      </c>
      <c r="Y208" s="1357">
        <f t="shared" si="56"/>
        <v>0</v>
      </c>
      <c r="Z208" s="1357">
        <f t="shared" si="56"/>
        <v>0</v>
      </c>
      <c r="AA208" s="1360">
        <f t="shared" si="56"/>
        <v>0</v>
      </c>
      <c r="AB208" s="249"/>
    </row>
    <row r="209" spans="2:28" x14ac:dyDescent="0.25">
      <c r="B209" s="540"/>
      <c r="C209" s="541"/>
      <c r="D209" s="541"/>
      <c r="E209" s="541"/>
      <c r="F209" s="541"/>
      <c r="G209" s="1357"/>
      <c r="H209" s="1357"/>
      <c r="I209" s="1357"/>
      <c r="J209" s="1357"/>
      <c r="K209" s="1357"/>
      <c r="L209" s="1357"/>
      <c r="M209" s="1357"/>
      <c r="N209" s="1357"/>
      <c r="O209" s="1357"/>
      <c r="P209" s="1357"/>
      <c r="Q209" s="1357"/>
      <c r="R209" s="1357"/>
      <c r="S209" s="1357"/>
      <c r="T209" s="1357"/>
      <c r="U209" s="1357"/>
      <c r="V209" s="1357"/>
      <c r="W209" s="1357"/>
      <c r="X209" s="1357"/>
      <c r="Y209" s="1357"/>
      <c r="Z209" s="1357"/>
      <c r="AA209" s="1360"/>
      <c r="AB209" s="249"/>
    </row>
    <row r="210" spans="2:28" x14ac:dyDescent="0.25">
      <c r="B210" s="540"/>
      <c r="C210" s="603" t="s">
        <v>65</v>
      </c>
      <c r="D210" s="541"/>
      <c r="E210" s="541"/>
      <c r="F210" s="541"/>
      <c r="G210" s="1357"/>
      <c r="H210" s="1357"/>
      <c r="I210" s="1357"/>
      <c r="J210" s="1357"/>
      <c r="K210" s="1357"/>
      <c r="L210" s="1357"/>
      <c r="M210" s="1357"/>
      <c r="N210" s="1357"/>
      <c r="O210" s="1357"/>
      <c r="P210" s="1357"/>
      <c r="Q210" s="1357"/>
      <c r="R210" s="1357"/>
      <c r="S210" s="1357"/>
      <c r="T210" s="1357"/>
      <c r="U210" s="1357"/>
      <c r="V210" s="1357"/>
      <c r="W210" s="1357"/>
      <c r="X210" s="1357"/>
      <c r="Y210" s="1357"/>
      <c r="Z210" s="1357"/>
      <c r="AA210" s="1360"/>
      <c r="AB210" s="249"/>
    </row>
    <row r="211" spans="2:28" x14ac:dyDescent="0.25">
      <c r="B211" s="540"/>
      <c r="C211" s="541" t="s">
        <v>75</v>
      </c>
      <c r="D211" s="541"/>
      <c r="E211" s="541"/>
      <c r="F211" s="541"/>
      <c r="G211" s="1357">
        <v>0</v>
      </c>
      <c r="H211" s="1357">
        <f t="shared" ref="H211:AA211" si="57">G214</f>
        <v>0</v>
      </c>
      <c r="I211" s="1357">
        <f t="shared" si="57"/>
        <v>0</v>
      </c>
      <c r="J211" s="1357">
        <f t="shared" si="57"/>
        <v>0</v>
      </c>
      <c r="K211" s="1357">
        <f t="shared" si="57"/>
        <v>0</v>
      </c>
      <c r="L211" s="1357">
        <f t="shared" si="57"/>
        <v>0</v>
      </c>
      <c r="M211" s="1357">
        <f t="shared" si="57"/>
        <v>0</v>
      </c>
      <c r="N211" s="1357">
        <f t="shared" si="57"/>
        <v>0</v>
      </c>
      <c r="O211" s="1357">
        <f t="shared" si="57"/>
        <v>0</v>
      </c>
      <c r="P211" s="1357">
        <f t="shared" si="57"/>
        <v>0</v>
      </c>
      <c r="Q211" s="1357">
        <f t="shared" si="57"/>
        <v>0</v>
      </c>
      <c r="R211" s="1357">
        <f t="shared" si="57"/>
        <v>0</v>
      </c>
      <c r="S211" s="1357">
        <f t="shared" si="57"/>
        <v>0</v>
      </c>
      <c r="T211" s="1357">
        <f t="shared" si="57"/>
        <v>0</v>
      </c>
      <c r="U211" s="1357">
        <f t="shared" si="57"/>
        <v>0</v>
      </c>
      <c r="V211" s="1357">
        <f t="shared" si="57"/>
        <v>0</v>
      </c>
      <c r="W211" s="1357">
        <f t="shared" si="57"/>
        <v>0</v>
      </c>
      <c r="X211" s="1357">
        <f t="shared" si="57"/>
        <v>0</v>
      </c>
      <c r="Y211" s="1357">
        <f t="shared" si="57"/>
        <v>0</v>
      </c>
      <c r="Z211" s="1357">
        <f t="shared" si="57"/>
        <v>0</v>
      </c>
      <c r="AA211" s="1360">
        <f t="shared" si="57"/>
        <v>0</v>
      </c>
      <c r="AB211" s="249"/>
    </row>
    <row r="212" spans="2:28" x14ac:dyDescent="0.25">
      <c r="B212" s="540"/>
      <c r="C212" s="541" t="s">
        <v>76</v>
      </c>
      <c r="D212" s="541"/>
      <c r="E212" s="541"/>
      <c r="F212" s="541"/>
      <c r="G212" s="1357">
        <f>G201</f>
        <v>0</v>
      </c>
      <c r="H212" s="1357">
        <v>0</v>
      </c>
      <c r="I212" s="1357">
        <v>0</v>
      </c>
      <c r="J212" s="1357">
        <v>0</v>
      </c>
      <c r="K212" s="1357">
        <v>0</v>
      </c>
      <c r="L212" s="1357">
        <v>0</v>
      </c>
      <c r="M212" s="1357">
        <v>0</v>
      </c>
      <c r="N212" s="1357">
        <v>0</v>
      </c>
      <c r="O212" s="1357">
        <v>0</v>
      </c>
      <c r="P212" s="1357">
        <v>0</v>
      </c>
      <c r="Q212" s="1357">
        <v>0</v>
      </c>
      <c r="R212" s="1357">
        <v>0</v>
      </c>
      <c r="S212" s="1357">
        <v>0</v>
      </c>
      <c r="T212" s="1357">
        <v>0</v>
      </c>
      <c r="U212" s="1357">
        <v>0</v>
      </c>
      <c r="V212" s="1357">
        <v>0</v>
      </c>
      <c r="W212" s="1357">
        <v>0</v>
      </c>
      <c r="X212" s="1357">
        <v>0</v>
      </c>
      <c r="Y212" s="1357">
        <v>0</v>
      </c>
      <c r="Z212" s="1357">
        <v>0</v>
      </c>
      <c r="AA212" s="1360">
        <v>0</v>
      </c>
      <c r="AB212" s="249"/>
    </row>
    <row r="213" spans="2:28" x14ac:dyDescent="0.25">
      <c r="B213" s="540"/>
      <c r="C213" s="551" t="s">
        <v>77</v>
      </c>
      <c r="D213" s="551"/>
      <c r="E213" s="551"/>
      <c r="F213" s="551"/>
      <c r="G213" s="1361">
        <v>0</v>
      </c>
      <c r="H213" s="1361">
        <f t="shared" ref="H213:AA213" si="58">-H207</f>
        <v>0</v>
      </c>
      <c r="I213" s="1361">
        <f t="shared" si="58"/>
        <v>0</v>
      </c>
      <c r="J213" s="1361">
        <f t="shared" si="58"/>
        <v>0</v>
      </c>
      <c r="K213" s="1361">
        <f t="shared" si="58"/>
        <v>0</v>
      </c>
      <c r="L213" s="1361">
        <f t="shared" si="58"/>
        <v>0</v>
      </c>
      <c r="M213" s="1361">
        <f t="shared" si="58"/>
        <v>0</v>
      </c>
      <c r="N213" s="1361">
        <f t="shared" si="58"/>
        <v>0</v>
      </c>
      <c r="O213" s="1361">
        <f t="shared" si="58"/>
        <v>0</v>
      </c>
      <c r="P213" s="1361">
        <f t="shared" si="58"/>
        <v>0</v>
      </c>
      <c r="Q213" s="1361">
        <f t="shared" si="58"/>
        <v>0</v>
      </c>
      <c r="R213" s="1361">
        <f t="shared" si="58"/>
        <v>0</v>
      </c>
      <c r="S213" s="1361">
        <f t="shared" si="58"/>
        <v>0</v>
      </c>
      <c r="T213" s="1361">
        <f t="shared" si="58"/>
        <v>0</v>
      </c>
      <c r="U213" s="1361">
        <f t="shared" si="58"/>
        <v>0</v>
      </c>
      <c r="V213" s="1361">
        <f t="shared" si="58"/>
        <v>0</v>
      </c>
      <c r="W213" s="1361">
        <f t="shared" si="58"/>
        <v>0</v>
      </c>
      <c r="X213" s="1361">
        <f t="shared" si="58"/>
        <v>0</v>
      </c>
      <c r="Y213" s="1361">
        <f t="shared" si="58"/>
        <v>0</v>
      </c>
      <c r="Z213" s="1361">
        <f t="shared" si="58"/>
        <v>0</v>
      </c>
      <c r="AA213" s="1362">
        <f t="shared" si="58"/>
        <v>0</v>
      </c>
      <c r="AB213" s="249"/>
    </row>
    <row r="214" spans="2:28" x14ac:dyDescent="0.25">
      <c r="B214" s="540"/>
      <c r="C214" s="541" t="s">
        <v>66</v>
      </c>
      <c r="D214" s="541"/>
      <c r="E214" s="541"/>
      <c r="F214" s="541"/>
      <c r="G214" s="1357">
        <f t="shared" ref="G214:AA214" si="59">SUM(G211:G213)</f>
        <v>0</v>
      </c>
      <c r="H214" s="1357">
        <f t="shared" si="59"/>
        <v>0</v>
      </c>
      <c r="I214" s="1357">
        <f t="shared" si="59"/>
        <v>0</v>
      </c>
      <c r="J214" s="1357">
        <f t="shared" si="59"/>
        <v>0</v>
      </c>
      <c r="K214" s="1357">
        <f t="shared" si="59"/>
        <v>0</v>
      </c>
      <c r="L214" s="1357">
        <f t="shared" si="59"/>
        <v>0</v>
      </c>
      <c r="M214" s="1357">
        <f t="shared" si="59"/>
        <v>0</v>
      </c>
      <c r="N214" s="1357">
        <f t="shared" si="59"/>
        <v>0</v>
      </c>
      <c r="O214" s="1357">
        <f t="shared" si="59"/>
        <v>0</v>
      </c>
      <c r="P214" s="1357">
        <f t="shared" si="59"/>
        <v>0</v>
      </c>
      <c r="Q214" s="1357">
        <f t="shared" si="59"/>
        <v>0</v>
      </c>
      <c r="R214" s="1357">
        <f t="shared" si="59"/>
        <v>0</v>
      </c>
      <c r="S214" s="1357">
        <f t="shared" si="59"/>
        <v>0</v>
      </c>
      <c r="T214" s="1357">
        <f t="shared" si="59"/>
        <v>0</v>
      </c>
      <c r="U214" s="1357">
        <f t="shared" si="59"/>
        <v>0</v>
      </c>
      <c r="V214" s="1357">
        <f t="shared" si="59"/>
        <v>0</v>
      </c>
      <c r="W214" s="1357">
        <f t="shared" si="59"/>
        <v>0</v>
      </c>
      <c r="X214" s="1357">
        <f t="shared" si="59"/>
        <v>0</v>
      </c>
      <c r="Y214" s="1357">
        <f t="shared" si="59"/>
        <v>0</v>
      </c>
      <c r="Z214" s="1357">
        <f t="shared" si="59"/>
        <v>0</v>
      </c>
      <c r="AA214" s="1360">
        <f t="shared" si="59"/>
        <v>0</v>
      </c>
      <c r="AB214" s="249"/>
    </row>
    <row r="215" spans="2:28" x14ac:dyDescent="0.25">
      <c r="B215" s="540"/>
      <c r="C215" s="541"/>
      <c r="D215" s="541"/>
      <c r="E215" s="541"/>
      <c r="F215" s="541"/>
      <c r="G215" s="1357"/>
      <c r="H215" s="1357"/>
      <c r="I215" s="1357"/>
      <c r="J215" s="1357"/>
      <c r="K215" s="1357"/>
      <c r="L215" s="1357"/>
      <c r="M215" s="1357"/>
      <c r="N215" s="1357"/>
      <c r="O215" s="1357"/>
      <c r="P215" s="1357"/>
      <c r="Q215" s="1357"/>
      <c r="R215" s="1357"/>
      <c r="S215" s="1357"/>
      <c r="T215" s="1357"/>
      <c r="U215" s="1357"/>
      <c r="V215" s="1357"/>
      <c r="W215" s="1357"/>
      <c r="X215" s="1357"/>
      <c r="Y215" s="1357"/>
      <c r="Z215" s="1357"/>
      <c r="AA215" s="1360"/>
      <c r="AB215" s="249"/>
    </row>
    <row r="216" spans="2:28" x14ac:dyDescent="0.25">
      <c r="B216" s="540"/>
      <c r="C216" s="603" t="s">
        <v>71</v>
      </c>
      <c r="D216" s="541"/>
      <c r="E216" s="541"/>
      <c r="F216" s="541"/>
      <c r="G216" s="1357"/>
      <c r="H216" s="1357"/>
      <c r="I216" s="1357"/>
      <c r="J216" s="1357"/>
      <c r="K216" s="1357"/>
      <c r="L216" s="1357"/>
      <c r="M216" s="1357"/>
      <c r="N216" s="1357"/>
      <c r="O216" s="1357"/>
      <c r="P216" s="1357"/>
      <c r="Q216" s="1357"/>
      <c r="R216" s="1357"/>
      <c r="S216" s="1357"/>
      <c r="T216" s="1357"/>
      <c r="U216" s="1357"/>
      <c r="V216" s="1357"/>
      <c r="W216" s="1357"/>
      <c r="X216" s="1357"/>
      <c r="Y216" s="1357"/>
      <c r="Z216" s="1357"/>
      <c r="AA216" s="1360"/>
      <c r="AB216" s="249"/>
    </row>
    <row r="217" spans="2:28" x14ac:dyDescent="0.25">
      <c r="B217" s="540"/>
      <c r="C217" s="541" t="str">
        <f>'II. Inputs, Baseline Energy Mix'!E70</f>
        <v>Front-end Fee</v>
      </c>
      <c r="D217" s="541"/>
      <c r="E217" s="541"/>
      <c r="F217" s="541"/>
      <c r="G217" s="1357"/>
      <c r="H217" s="1357">
        <f>IF($G$201&gt;0, $G$201*'III. Inputs, Renewable Energy'!$S$48/10000,0)</f>
        <v>0</v>
      </c>
      <c r="I217" s="1382">
        <v>0</v>
      </c>
      <c r="J217" s="1382">
        <v>0</v>
      </c>
      <c r="K217" s="1382">
        <v>0</v>
      </c>
      <c r="L217" s="1382">
        <v>0</v>
      </c>
      <c r="M217" s="1382">
        <v>0</v>
      </c>
      <c r="N217" s="1382">
        <v>0</v>
      </c>
      <c r="O217" s="1382">
        <v>0</v>
      </c>
      <c r="P217" s="1382">
        <v>0</v>
      </c>
      <c r="Q217" s="1382">
        <v>0</v>
      </c>
      <c r="R217" s="1382">
        <v>0</v>
      </c>
      <c r="S217" s="1382">
        <v>0</v>
      </c>
      <c r="T217" s="1382">
        <v>0</v>
      </c>
      <c r="U217" s="1382">
        <v>0</v>
      </c>
      <c r="V217" s="1382">
        <v>0</v>
      </c>
      <c r="W217" s="1382">
        <v>0</v>
      </c>
      <c r="X217" s="1382">
        <v>0</v>
      </c>
      <c r="Y217" s="1382">
        <v>0</v>
      </c>
      <c r="Z217" s="1382">
        <v>0</v>
      </c>
      <c r="AA217" s="1383">
        <v>0</v>
      </c>
      <c r="AB217" s="249"/>
    </row>
    <row r="218" spans="2:28" x14ac:dyDescent="0.25">
      <c r="B218" s="540"/>
      <c r="C218" s="541"/>
      <c r="D218" s="541"/>
      <c r="E218" s="541"/>
      <c r="F218" s="541"/>
      <c r="G218" s="541"/>
      <c r="H218" s="541"/>
      <c r="I218" s="541"/>
      <c r="J218" s="541"/>
      <c r="K218" s="541"/>
      <c r="L218" s="541"/>
      <c r="M218" s="541"/>
      <c r="N218" s="541"/>
      <c r="O218" s="541"/>
      <c r="P218" s="541"/>
      <c r="Q218" s="541"/>
      <c r="R218" s="541"/>
      <c r="S218" s="541"/>
      <c r="T218" s="541"/>
      <c r="U218" s="541"/>
      <c r="V218" s="541"/>
      <c r="W218" s="541"/>
      <c r="X218" s="541"/>
      <c r="Y218" s="541"/>
      <c r="Z218" s="541"/>
      <c r="AA218" s="542"/>
    </row>
    <row r="219" spans="2:28" x14ac:dyDescent="0.25">
      <c r="B219" s="553" t="s">
        <v>179</v>
      </c>
      <c r="C219" s="541"/>
      <c r="D219" s="541"/>
      <c r="E219" s="541"/>
      <c r="F219" s="541"/>
      <c r="G219" s="541"/>
      <c r="H219" s="541"/>
      <c r="I219" s="541"/>
      <c r="J219" s="541"/>
      <c r="K219" s="541"/>
      <c r="L219" s="541"/>
      <c r="M219" s="541"/>
      <c r="N219" s="541"/>
      <c r="O219" s="541"/>
      <c r="P219" s="541"/>
      <c r="Q219" s="541"/>
      <c r="R219" s="541"/>
      <c r="S219" s="541"/>
      <c r="T219" s="541"/>
      <c r="U219" s="541"/>
      <c r="V219" s="541"/>
      <c r="W219" s="541"/>
      <c r="X219" s="541"/>
      <c r="Y219" s="541"/>
      <c r="Z219" s="541"/>
      <c r="AA219" s="542"/>
    </row>
    <row r="220" spans="2:28" x14ac:dyDescent="0.25">
      <c r="B220" s="540"/>
      <c r="C220" s="599" t="s">
        <v>68</v>
      </c>
      <c r="D220" s="209" t="s">
        <v>22</v>
      </c>
      <c r="E220" s="541"/>
      <c r="F220" s="541"/>
      <c r="G220" s="1357">
        <f>IF('III. Inputs, Renewable Energy'!$S$32&gt;0,IF('III. Inputs, Renewable Energy'!U243=0,0,((('III. Inputs, Renewable Energy'!U242+('III. Inputs, Renewable Energy'!U238*'III. Inputs, Renewable Energy'!U240*'III. Inputs, Renewable Energy'!U241))*('III. Inputs, Renewable Energy'!U14/'III. Inputs, Renewable Energy'!U243))*'III. Inputs, Renewable Energy'!S29*SUM('III. Inputs, Renewable Energy'!$S$32))),0)</f>
        <v>0</v>
      </c>
      <c r="H220" s="541"/>
      <c r="I220" s="541"/>
      <c r="J220" s="541"/>
      <c r="K220" s="541"/>
      <c r="L220" s="541"/>
      <c r="M220" s="541"/>
      <c r="N220" s="541"/>
      <c r="O220" s="541"/>
      <c r="P220" s="541"/>
      <c r="Q220" s="541"/>
      <c r="R220" s="541"/>
      <c r="S220" s="541"/>
      <c r="T220" s="541"/>
      <c r="U220" s="541"/>
      <c r="V220" s="541"/>
      <c r="W220" s="541"/>
      <c r="X220" s="541"/>
      <c r="Y220" s="541"/>
      <c r="Z220" s="541"/>
      <c r="AA220" s="542"/>
    </row>
    <row r="221" spans="2:28" x14ac:dyDescent="0.25">
      <c r="B221" s="540"/>
      <c r="C221" s="599" t="s">
        <v>69</v>
      </c>
      <c r="D221" s="209" t="s">
        <v>20</v>
      </c>
      <c r="E221" s="541"/>
      <c r="F221" s="541"/>
      <c r="G221" s="600">
        <f>SUM('III. Inputs, Renewable Energy'!$S$44)</f>
        <v>0</v>
      </c>
      <c r="H221" s="541"/>
      <c r="I221" s="541"/>
      <c r="J221" s="541"/>
      <c r="K221" s="541"/>
      <c r="L221" s="541"/>
      <c r="M221" s="541"/>
      <c r="N221" s="541"/>
      <c r="O221" s="541"/>
      <c r="P221" s="541"/>
      <c r="Q221" s="541"/>
      <c r="R221" s="541"/>
      <c r="S221" s="541"/>
      <c r="T221" s="541"/>
      <c r="U221" s="541"/>
      <c r="V221" s="541"/>
      <c r="W221" s="541"/>
      <c r="X221" s="541"/>
      <c r="Y221" s="541"/>
      <c r="Z221" s="541"/>
      <c r="AA221" s="542"/>
    </row>
    <row r="222" spans="2:28" x14ac:dyDescent="0.25">
      <c r="B222" s="540"/>
      <c r="C222" s="599" t="s">
        <v>70</v>
      </c>
      <c r="D222" s="209" t="s">
        <v>16</v>
      </c>
      <c r="E222" s="541"/>
      <c r="F222" s="541"/>
      <c r="G222" s="601">
        <f>SUM('III. Inputs, Renewable Energy'!$S$39)</f>
        <v>0</v>
      </c>
      <c r="H222" s="541"/>
      <c r="I222" s="541"/>
      <c r="J222" s="541"/>
      <c r="K222" s="541"/>
      <c r="L222" s="541"/>
      <c r="M222" s="541"/>
      <c r="N222" s="541"/>
      <c r="O222" s="541"/>
      <c r="P222" s="541"/>
      <c r="Q222" s="541"/>
      <c r="R222" s="541"/>
      <c r="S222" s="541"/>
      <c r="T222" s="541"/>
      <c r="U222" s="541"/>
      <c r="V222" s="541"/>
      <c r="W222" s="541"/>
      <c r="X222" s="541"/>
      <c r="Y222" s="541"/>
      <c r="Z222" s="541"/>
      <c r="AA222" s="542"/>
    </row>
    <row r="223" spans="2:28" x14ac:dyDescent="0.25">
      <c r="B223" s="540"/>
      <c r="C223" s="599" t="s">
        <v>235</v>
      </c>
      <c r="D223" s="209" t="s">
        <v>16</v>
      </c>
      <c r="E223" s="541"/>
      <c r="F223" s="541"/>
      <c r="G223" s="604">
        <f>SUM('III. Inputs, Renewable Energy'!$S$184)</f>
        <v>0</v>
      </c>
      <c r="H223" s="541"/>
      <c r="I223" s="541"/>
      <c r="J223" s="541"/>
      <c r="K223" s="541"/>
      <c r="L223" s="541"/>
      <c r="M223" s="541"/>
      <c r="N223" s="541"/>
      <c r="O223" s="541"/>
      <c r="P223" s="541"/>
      <c r="Q223" s="541"/>
      <c r="R223" s="541"/>
      <c r="S223" s="541"/>
      <c r="T223" s="541"/>
      <c r="U223" s="541"/>
      <c r="V223" s="541"/>
      <c r="W223" s="541"/>
      <c r="X223" s="541"/>
      <c r="Y223" s="541"/>
      <c r="Z223" s="541"/>
      <c r="AA223" s="542"/>
    </row>
    <row r="224" spans="2:28" x14ac:dyDescent="0.25">
      <c r="B224" s="540"/>
      <c r="C224" s="599" t="s">
        <v>208</v>
      </c>
      <c r="D224" s="209" t="s">
        <v>20</v>
      </c>
      <c r="E224" s="541"/>
      <c r="F224" s="541"/>
      <c r="G224" s="555">
        <f>'III. Inputs, Renewable Energy'!$S$185</f>
        <v>0</v>
      </c>
      <c r="H224" s="541"/>
      <c r="I224" s="541"/>
      <c r="J224" s="541"/>
      <c r="K224" s="541"/>
      <c r="L224" s="541"/>
      <c r="M224" s="541"/>
      <c r="N224" s="541"/>
      <c r="O224" s="541"/>
      <c r="P224" s="541"/>
      <c r="Q224" s="541"/>
      <c r="R224" s="541"/>
      <c r="S224" s="541"/>
      <c r="T224" s="541"/>
      <c r="U224" s="541"/>
      <c r="V224" s="541"/>
      <c r="W224" s="541"/>
      <c r="X224" s="541"/>
      <c r="Y224" s="541"/>
      <c r="Z224" s="541"/>
      <c r="AA224" s="542"/>
    </row>
    <row r="225" spans="2:27" x14ac:dyDescent="0.25">
      <c r="B225" s="540"/>
      <c r="C225" s="541"/>
      <c r="D225" s="541"/>
      <c r="E225" s="541"/>
      <c r="F225" s="541"/>
      <c r="G225" s="541"/>
      <c r="H225" s="541"/>
      <c r="I225" s="541"/>
      <c r="J225" s="541"/>
      <c r="K225" s="541"/>
      <c r="L225" s="541"/>
      <c r="M225" s="541"/>
      <c r="N225" s="541"/>
      <c r="O225" s="541"/>
      <c r="P225" s="541"/>
      <c r="Q225" s="541"/>
      <c r="R225" s="541"/>
      <c r="S225" s="541"/>
      <c r="T225" s="541"/>
      <c r="U225" s="541"/>
      <c r="V225" s="541"/>
      <c r="W225" s="541"/>
      <c r="X225" s="541"/>
      <c r="Y225" s="541"/>
      <c r="Z225" s="541"/>
      <c r="AA225" s="542"/>
    </row>
    <row r="226" spans="2:27" x14ac:dyDescent="0.25">
      <c r="B226" s="540"/>
      <c r="C226" s="602" t="s">
        <v>67</v>
      </c>
      <c r="D226" s="541"/>
      <c r="E226" s="541"/>
      <c r="F226" s="541"/>
      <c r="G226" s="541"/>
      <c r="H226" s="541"/>
      <c r="I226" s="541"/>
      <c r="J226" s="541"/>
      <c r="K226" s="541"/>
      <c r="L226" s="541"/>
      <c r="M226" s="541"/>
      <c r="N226" s="541"/>
      <c r="O226" s="541"/>
      <c r="P226" s="541"/>
      <c r="Q226" s="541"/>
      <c r="R226" s="541"/>
      <c r="S226" s="541"/>
      <c r="T226" s="541"/>
      <c r="U226" s="541"/>
      <c r="V226" s="541"/>
      <c r="W226" s="541"/>
      <c r="X226" s="541"/>
      <c r="Y226" s="541"/>
      <c r="Z226" s="541"/>
      <c r="AA226" s="542"/>
    </row>
    <row r="227" spans="2:27" x14ac:dyDescent="0.25">
      <c r="B227" s="540"/>
      <c r="C227" s="541" t="s">
        <v>73</v>
      </c>
      <c r="D227" s="541"/>
      <c r="E227" s="541"/>
      <c r="F227" s="541"/>
      <c r="G227" s="1357"/>
      <c r="H227" s="1357">
        <f>IF($G$220=0,0,IF(H$196&gt;$G$221,0,IPMT($G$222,H$196,$G$221,-$G$220)))</f>
        <v>0</v>
      </c>
      <c r="I227" s="1357">
        <f t="shared" ref="I227:AA227" si="60">IF($G$220=0,0,IF(I$196&gt;$G$221,0,IPMT($G$222,I$196,$G$221,-$G$220)))</f>
        <v>0</v>
      </c>
      <c r="J227" s="1357">
        <f t="shared" si="60"/>
        <v>0</v>
      </c>
      <c r="K227" s="1357">
        <f t="shared" si="60"/>
        <v>0</v>
      </c>
      <c r="L227" s="1357">
        <f t="shared" si="60"/>
        <v>0</v>
      </c>
      <c r="M227" s="1357">
        <f t="shared" si="60"/>
        <v>0</v>
      </c>
      <c r="N227" s="1357">
        <f t="shared" si="60"/>
        <v>0</v>
      </c>
      <c r="O227" s="1357">
        <f t="shared" si="60"/>
        <v>0</v>
      </c>
      <c r="P227" s="1357">
        <f t="shared" si="60"/>
        <v>0</v>
      </c>
      <c r="Q227" s="1357">
        <f t="shared" si="60"/>
        <v>0</v>
      </c>
      <c r="R227" s="1357">
        <f t="shared" si="60"/>
        <v>0</v>
      </c>
      <c r="S227" s="1357">
        <f t="shared" si="60"/>
        <v>0</v>
      </c>
      <c r="T227" s="1357">
        <f t="shared" si="60"/>
        <v>0</v>
      </c>
      <c r="U227" s="1357">
        <f t="shared" si="60"/>
        <v>0</v>
      </c>
      <c r="V227" s="1357">
        <f t="shared" si="60"/>
        <v>0</v>
      </c>
      <c r="W227" s="1357">
        <f t="shared" si="60"/>
        <v>0</v>
      </c>
      <c r="X227" s="1357">
        <f t="shared" si="60"/>
        <v>0</v>
      </c>
      <c r="Y227" s="1357">
        <f t="shared" si="60"/>
        <v>0</v>
      </c>
      <c r="Z227" s="1357">
        <f t="shared" si="60"/>
        <v>0</v>
      </c>
      <c r="AA227" s="1360">
        <f t="shared" si="60"/>
        <v>0</v>
      </c>
    </row>
    <row r="228" spans="2:27" x14ac:dyDescent="0.25">
      <c r="B228" s="540"/>
      <c r="C228" s="551" t="s">
        <v>72</v>
      </c>
      <c r="D228" s="551"/>
      <c r="E228" s="551"/>
      <c r="F228" s="551"/>
      <c r="G228" s="1361"/>
      <c r="H228" s="1361">
        <f>IF($G$220=0,0,IF(H$196&gt;$G$221,0,PPMT($G$222,H$196,$G$221,-$G$220)))</f>
        <v>0</v>
      </c>
      <c r="I228" s="1361">
        <f t="shared" ref="I228:AA228" si="61">IF($G$220=0,0,IF(I$196&gt;$G$221,0,PPMT($G$222,I$196,$G$221,-$G$220)))</f>
        <v>0</v>
      </c>
      <c r="J228" s="1361">
        <f t="shared" si="61"/>
        <v>0</v>
      </c>
      <c r="K228" s="1361">
        <f t="shared" si="61"/>
        <v>0</v>
      </c>
      <c r="L228" s="1361">
        <f t="shared" si="61"/>
        <v>0</v>
      </c>
      <c r="M228" s="1361">
        <f t="shared" si="61"/>
        <v>0</v>
      </c>
      <c r="N228" s="1361">
        <f t="shared" si="61"/>
        <v>0</v>
      </c>
      <c r="O228" s="1361">
        <f t="shared" si="61"/>
        <v>0</v>
      </c>
      <c r="P228" s="1361">
        <f t="shared" si="61"/>
        <v>0</v>
      </c>
      <c r="Q228" s="1361">
        <f t="shared" si="61"/>
        <v>0</v>
      </c>
      <c r="R228" s="1361">
        <f t="shared" si="61"/>
        <v>0</v>
      </c>
      <c r="S228" s="1361">
        <f t="shared" si="61"/>
        <v>0</v>
      </c>
      <c r="T228" s="1361">
        <f t="shared" si="61"/>
        <v>0</v>
      </c>
      <c r="U228" s="1361">
        <f t="shared" si="61"/>
        <v>0</v>
      </c>
      <c r="V228" s="1361">
        <f t="shared" si="61"/>
        <v>0</v>
      </c>
      <c r="W228" s="1361">
        <f t="shared" si="61"/>
        <v>0</v>
      </c>
      <c r="X228" s="1361">
        <f t="shared" si="61"/>
        <v>0</v>
      </c>
      <c r="Y228" s="1361">
        <f t="shared" si="61"/>
        <v>0</v>
      </c>
      <c r="Z228" s="1361">
        <f t="shared" si="61"/>
        <v>0</v>
      </c>
      <c r="AA228" s="1362">
        <f t="shared" si="61"/>
        <v>0</v>
      </c>
    </row>
    <row r="229" spans="2:27" x14ac:dyDescent="0.25">
      <c r="B229" s="540"/>
      <c r="C229" s="541" t="s">
        <v>74</v>
      </c>
      <c r="D229" s="541"/>
      <c r="E229" s="541"/>
      <c r="F229" s="541"/>
      <c r="G229" s="1357"/>
      <c r="H229" s="1357">
        <f>SUM(H227:H228)</f>
        <v>0</v>
      </c>
      <c r="I229" s="1357">
        <f t="shared" ref="I229:AA229" si="62">SUM(I227:I228)</f>
        <v>0</v>
      </c>
      <c r="J229" s="1357">
        <f t="shared" si="62"/>
        <v>0</v>
      </c>
      <c r="K229" s="1357">
        <f t="shared" si="62"/>
        <v>0</v>
      </c>
      <c r="L229" s="1357">
        <f t="shared" si="62"/>
        <v>0</v>
      </c>
      <c r="M229" s="1357">
        <f t="shared" si="62"/>
        <v>0</v>
      </c>
      <c r="N229" s="1357">
        <f t="shared" si="62"/>
        <v>0</v>
      </c>
      <c r="O229" s="1357">
        <f t="shared" si="62"/>
        <v>0</v>
      </c>
      <c r="P229" s="1357">
        <f t="shared" si="62"/>
        <v>0</v>
      </c>
      <c r="Q229" s="1357">
        <f t="shared" si="62"/>
        <v>0</v>
      </c>
      <c r="R229" s="1357">
        <f t="shared" si="62"/>
        <v>0</v>
      </c>
      <c r="S229" s="1357">
        <f t="shared" si="62"/>
        <v>0</v>
      </c>
      <c r="T229" s="1357">
        <f t="shared" si="62"/>
        <v>0</v>
      </c>
      <c r="U229" s="1357">
        <f t="shared" si="62"/>
        <v>0</v>
      </c>
      <c r="V229" s="1357">
        <f t="shared" si="62"/>
        <v>0</v>
      </c>
      <c r="W229" s="1357">
        <f t="shared" si="62"/>
        <v>0</v>
      </c>
      <c r="X229" s="1357">
        <f t="shared" si="62"/>
        <v>0</v>
      </c>
      <c r="Y229" s="1357">
        <f t="shared" si="62"/>
        <v>0</v>
      </c>
      <c r="Z229" s="1357">
        <f t="shared" si="62"/>
        <v>0</v>
      </c>
      <c r="AA229" s="1360">
        <f t="shared" si="62"/>
        <v>0</v>
      </c>
    </row>
    <row r="230" spans="2:27" x14ac:dyDescent="0.25">
      <c r="B230" s="540"/>
      <c r="C230" s="541"/>
      <c r="D230" s="541"/>
      <c r="E230" s="541"/>
      <c r="F230" s="541"/>
      <c r="G230" s="1357"/>
      <c r="H230" s="1357"/>
      <c r="I230" s="1357"/>
      <c r="J230" s="1357"/>
      <c r="K230" s="1357"/>
      <c r="L230" s="1357"/>
      <c r="M230" s="1357"/>
      <c r="N230" s="1357"/>
      <c r="O230" s="1357"/>
      <c r="P230" s="1357"/>
      <c r="Q230" s="1357"/>
      <c r="R230" s="1357"/>
      <c r="S230" s="1357"/>
      <c r="T230" s="1357"/>
      <c r="U230" s="1357"/>
      <c r="V230" s="1357"/>
      <c r="W230" s="1357"/>
      <c r="X230" s="1357"/>
      <c r="Y230" s="1357"/>
      <c r="Z230" s="1357"/>
      <c r="AA230" s="1360"/>
    </row>
    <row r="231" spans="2:27" x14ac:dyDescent="0.25">
      <c r="B231" s="540"/>
      <c r="C231" s="603" t="s">
        <v>65</v>
      </c>
      <c r="D231" s="541"/>
      <c r="E231" s="541"/>
      <c r="F231" s="541"/>
      <c r="G231" s="1357"/>
      <c r="H231" s="1357"/>
      <c r="I231" s="1357"/>
      <c r="J231" s="1357"/>
      <c r="K231" s="1357"/>
      <c r="L231" s="1357"/>
      <c r="M231" s="1357"/>
      <c r="N231" s="1357"/>
      <c r="O231" s="1357"/>
      <c r="P231" s="1357"/>
      <c r="Q231" s="1357"/>
      <c r="R231" s="1357"/>
      <c r="S231" s="1357"/>
      <c r="T231" s="1357"/>
      <c r="U231" s="1357"/>
      <c r="V231" s="1357"/>
      <c r="W231" s="1357"/>
      <c r="X231" s="1357"/>
      <c r="Y231" s="1357"/>
      <c r="Z231" s="1357"/>
      <c r="AA231" s="1360"/>
    </row>
    <row r="232" spans="2:27" x14ac:dyDescent="0.25">
      <c r="B232" s="540"/>
      <c r="C232" s="541" t="s">
        <v>75</v>
      </c>
      <c r="D232" s="541"/>
      <c r="E232" s="541"/>
      <c r="F232" s="541"/>
      <c r="G232" s="1357">
        <v>0</v>
      </c>
      <c r="H232" s="1357">
        <f>G235</f>
        <v>0</v>
      </c>
      <c r="I232" s="1357">
        <f t="shared" ref="I232:AA232" si="63">H235</f>
        <v>0</v>
      </c>
      <c r="J232" s="1357">
        <f t="shared" si="63"/>
        <v>0</v>
      </c>
      <c r="K232" s="1357">
        <f t="shared" si="63"/>
        <v>0</v>
      </c>
      <c r="L232" s="1357">
        <f t="shared" si="63"/>
        <v>0</v>
      </c>
      <c r="M232" s="1357">
        <f t="shared" si="63"/>
        <v>0</v>
      </c>
      <c r="N232" s="1357">
        <f t="shared" si="63"/>
        <v>0</v>
      </c>
      <c r="O232" s="1357">
        <f t="shared" si="63"/>
        <v>0</v>
      </c>
      <c r="P232" s="1357">
        <f t="shared" si="63"/>
        <v>0</v>
      </c>
      <c r="Q232" s="1357">
        <f t="shared" si="63"/>
        <v>0</v>
      </c>
      <c r="R232" s="1357">
        <f t="shared" si="63"/>
        <v>0</v>
      </c>
      <c r="S232" s="1357">
        <f t="shared" si="63"/>
        <v>0</v>
      </c>
      <c r="T232" s="1357">
        <f t="shared" si="63"/>
        <v>0</v>
      </c>
      <c r="U232" s="1357">
        <f t="shared" si="63"/>
        <v>0</v>
      </c>
      <c r="V232" s="1357">
        <f t="shared" si="63"/>
        <v>0</v>
      </c>
      <c r="W232" s="1357">
        <f t="shared" si="63"/>
        <v>0</v>
      </c>
      <c r="X232" s="1357">
        <f t="shared" si="63"/>
        <v>0</v>
      </c>
      <c r="Y232" s="1357">
        <f t="shared" si="63"/>
        <v>0</v>
      </c>
      <c r="Z232" s="1357">
        <f t="shared" si="63"/>
        <v>0</v>
      </c>
      <c r="AA232" s="1360">
        <f t="shared" si="63"/>
        <v>0</v>
      </c>
    </row>
    <row r="233" spans="2:27" x14ac:dyDescent="0.25">
      <c r="B233" s="540"/>
      <c r="C233" s="541" t="s">
        <v>76</v>
      </c>
      <c r="D233" s="541"/>
      <c r="E233" s="541"/>
      <c r="F233" s="541"/>
      <c r="G233" s="1357">
        <f>G220</f>
        <v>0</v>
      </c>
      <c r="H233" s="1357">
        <v>0</v>
      </c>
      <c r="I233" s="1357">
        <v>0</v>
      </c>
      <c r="J233" s="1357">
        <v>0</v>
      </c>
      <c r="K233" s="1357">
        <v>0</v>
      </c>
      <c r="L233" s="1357">
        <v>0</v>
      </c>
      <c r="M233" s="1357">
        <v>0</v>
      </c>
      <c r="N233" s="1357">
        <v>0</v>
      </c>
      <c r="O233" s="1357">
        <v>0</v>
      </c>
      <c r="P233" s="1357">
        <v>0</v>
      </c>
      <c r="Q233" s="1357">
        <v>0</v>
      </c>
      <c r="R233" s="1357">
        <v>0</v>
      </c>
      <c r="S233" s="1357">
        <v>0</v>
      </c>
      <c r="T233" s="1357">
        <v>0</v>
      </c>
      <c r="U233" s="1357">
        <v>0</v>
      </c>
      <c r="V233" s="1357">
        <v>0</v>
      </c>
      <c r="W233" s="1357">
        <v>0</v>
      </c>
      <c r="X233" s="1357">
        <v>0</v>
      </c>
      <c r="Y233" s="1357">
        <v>0</v>
      </c>
      <c r="Z233" s="1357">
        <v>0</v>
      </c>
      <c r="AA233" s="1360">
        <v>0</v>
      </c>
    </row>
    <row r="234" spans="2:27" x14ac:dyDescent="0.25">
      <c r="B234" s="540"/>
      <c r="C234" s="551" t="s">
        <v>77</v>
      </c>
      <c r="D234" s="551"/>
      <c r="E234" s="551"/>
      <c r="F234" s="551"/>
      <c r="G234" s="1361">
        <v>0</v>
      </c>
      <c r="H234" s="1361">
        <f>-H228</f>
        <v>0</v>
      </c>
      <c r="I234" s="1361">
        <f t="shared" ref="I234:AA234" si="64">-I228</f>
        <v>0</v>
      </c>
      <c r="J234" s="1361">
        <f t="shared" si="64"/>
        <v>0</v>
      </c>
      <c r="K234" s="1361">
        <f t="shared" si="64"/>
        <v>0</v>
      </c>
      <c r="L234" s="1361">
        <f t="shared" si="64"/>
        <v>0</v>
      </c>
      <c r="M234" s="1361">
        <f t="shared" si="64"/>
        <v>0</v>
      </c>
      <c r="N234" s="1361">
        <f t="shared" si="64"/>
        <v>0</v>
      </c>
      <c r="O234" s="1361">
        <f t="shared" si="64"/>
        <v>0</v>
      </c>
      <c r="P234" s="1361">
        <f t="shared" si="64"/>
        <v>0</v>
      </c>
      <c r="Q234" s="1361">
        <f t="shared" si="64"/>
        <v>0</v>
      </c>
      <c r="R234" s="1361">
        <f t="shared" si="64"/>
        <v>0</v>
      </c>
      <c r="S234" s="1361">
        <f t="shared" si="64"/>
        <v>0</v>
      </c>
      <c r="T234" s="1361">
        <f t="shared" si="64"/>
        <v>0</v>
      </c>
      <c r="U234" s="1361">
        <f t="shared" si="64"/>
        <v>0</v>
      </c>
      <c r="V234" s="1361">
        <f t="shared" si="64"/>
        <v>0</v>
      </c>
      <c r="W234" s="1361">
        <f t="shared" si="64"/>
        <v>0</v>
      </c>
      <c r="X234" s="1361">
        <f t="shared" si="64"/>
        <v>0</v>
      </c>
      <c r="Y234" s="1361">
        <f t="shared" si="64"/>
        <v>0</v>
      </c>
      <c r="Z234" s="1361">
        <f t="shared" si="64"/>
        <v>0</v>
      </c>
      <c r="AA234" s="1362">
        <f t="shared" si="64"/>
        <v>0</v>
      </c>
    </row>
    <row r="235" spans="2:27" x14ac:dyDescent="0.25">
      <c r="B235" s="540"/>
      <c r="C235" s="541" t="s">
        <v>66</v>
      </c>
      <c r="D235" s="541"/>
      <c r="E235" s="541"/>
      <c r="F235" s="541"/>
      <c r="G235" s="1357">
        <f>SUM(G232:G234)</f>
        <v>0</v>
      </c>
      <c r="H235" s="1357">
        <f>SUM(H232:H234)</f>
        <v>0</v>
      </c>
      <c r="I235" s="1357">
        <f t="shared" ref="I235:AA235" si="65">SUM(I232:I234)</f>
        <v>0</v>
      </c>
      <c r="J235" s="1357">
        <f t="shared" si="65"/>
        <v>0</v>
      </c>
      <c r="K235" s="1357">
        <f t="shared" si="65"/>
        <v>0</v>
      </c>
      <c r="L235" s="1357">
        <f t="shared" si="65"/>
        <v>0</v>
      </c>
      <c r="M235" s="1357">
        <f t="shared" si="65"/>
        <v>0</v>
      </c>
      <c r="N235" s="1357">
        <f t="shared" si="65"/>
        <v>0</v>
      </c>
      <c r="O235" s="1357">
        <f t="shared" si="65"/>
        <v>0</v>
      </c>
      <c r="P235" s="1357">
        <f t="shared" si="65"/>
        <v>0</v>
      </c>
      <c r="Q235" s="1357">
        <f t="shared" si="65"/>
        <v>0</v>
      </c>
      <c r="R235" s="1357">
        <f t="shared" si="65"/>
        <v>0</v>
      </c>
      <c r="S235" s="1357">
        <f t="shared" si="65"/>
        <v>0</v>
      </c>
      <c r="T235" s="1357">
        <f t="shared" si="65"/>
        <v>0</v>
      </c>
      <c r="U235" s="1357">
        <f t="shared" si="65"/>
        <v>0</v>
      </c>
      <c r="V235" s="1357">
        <f t="shared" si="65"/>
        <v>0</v>
      </c>
      <c r="W235" s="1357">
        <f t="shared" si="65"/>
        <v>0</v>
      </c>
      <c r="X235" s="1357">
        <f t="shared" si="65"/>
        <v>0</v>
      </c>
      <c r="Y235" s="1357">
        <f t="shared" si="65"/>
        <v>0</v>
      </c>
      <c r="Z235" s="1357">
        <f t="shared" si="65"/>
        <v>0</v>
      </c>
      <c r="AA235" s="1360">
        <f t="shared" si="65"/>
        <v>0</v>
      </c>
    </row>
    <row r="236" spans="2:27" x14ac:dyDescent="0.25">
      <c r="B236" s="540"/>
      <c r="C236" s="541"/>
      <c r="D236" s="541"/>
      <c r="E236" s="541"/>
      <c r="F236" s="541"/>
      <c r="G236" s="1357"/>
      <c r="H236" s="1357"/>
      <c r="I236" s="1357"/>
      <c r="J236" s="1357"/>
      <c r="K236" s="1357"/>
      <c r="L236" s="1357"/>
      <c r="M236" s="1357"/>
      <c r="N236" s="1357"/>
      <c r="O236" s="1357"/>
      <c r="P236" s="1357"/>
      <c r="Q236" s="1357"/>
      <c r="R236" s="1357"/>
      <c r="S236" s="1357"/>
      <c r="T236" s="1357"/>
      <c r="U236" s="1357"/>
      <c r="V236" s="1357"/>
      <c r="W236" s="1357"/>
      <c r="X236" s="1357"/>
      <c r="Y236" s="1357"/>
      <c r="Z236" s="1357"/>
      <c r="AA236" s="1360"/>
    </row>
    <row r="237" spans="2:27" x14ac:dyDescent="0.25">
      <c r="B237" s="540"/>
      <c r="C237" s="603" t="s">
        <v>71</v>
      </c>
      <c r="D237" s="541"/>
      <c r="E237" s="541"/>
      <c r="F237" s="541"/>
      <c r="G237" s="1357"/>
      <c r="H237" s="1357"/>
      <c r="I237" s="1357"/>
      <c r="J237" s="1357"/>
      <c r="K237" s="1357"/>
      <c r="L237" s="1357"/>
      <c r="M237" s="1357"/>
      <c r="N237" s="1357"/>
      <c r="O237" s="1357"/>
      <c r="P237" s="1357"/>
      <c r="Q237" s="1357"/>
      <c r="R237" s="1357"/>
      <c r="S237" s="1357"/>
      <c r="T237" s="1357"/>
      <c r="U237" s="1357"/>
      <c r="V237" s="1357"/>
      <c r="W237" s="1357"/>
      <c r="X237" s="1357"/>
      <c r="Y237" s="1357"/>
      <c r="Z237" s="1357"/>
      <c r="AA237" s="1360"/>
    </row>
    <row r="238" spans="2:27" x14ac:dyDescent="0.25">
      <c r="B238" s="540"/>
      <c r="C238" s="541" t="s">
        <v>233</v>
      </c>
      <c r="D238" s="541"/>
      <c r="E238" s="541"/>
      <c r="F238" s="541"/>
      <c r="G238" s="1357"/>
      <c r="H238" s="1357">
        <f>IF($G$220&gt;0, $G$220*'III. Inputs, Renewable Energy'!$S$49/10000,0)</f>
        <v>0</v>
      </c>
      <c r="I238" s="1382">
        <v>0</v>
      </c>
      <c r="J238" s="1382">
        <v>0</v>
      </c>
      <c r="K238" s="1382">
        <v>0</v>
      </c>
      <c r="L238" s="1382">
        <v>0</v>
      </c>
      <c r="M238" s="1382">
        <v>0</v>
      </c>
      <c r="N238" s="1382">
        <v>0</v>
      </c>
      <c r="O238" s="1382">
        <v>0</v>
      </c>
      <c r="P238" s="1382">
        <v>0</v>
      </c>
      <c r="Q238" s="1382">
        <v>0</v>
      </c>
      <c r="R238" s="1382">
        <v>0</v>
      </c>
      <c r="S238" s="1382">
        <v>0</v>
      </c>
      <c r="T238" s="1382">
        <v>0</v>
      </c>
      <c r="U238" s="1382">
        <v>0</v>
      </c>
      <c r="V238" s="1382">
        <v>0</v>
      </c>
      <c r="W238" s="1382">
        <v>0</v>
      </c>
      <c r="X238" s="1382">
        <v>0</v>
      </c>
      <c r="Y238" s="1382">
        <v>0</v>
      </c>
      <c r="Z238" s="1382">
        <v>0</v>
      </c>
      <c r="AA238" s="1383">
        <v>0</v>
      </c>
    </row>
    <row r="239" spans="2:27" x14ac:dyDescent="0.25">
      <c r="B239" s="540"/>
      <c r="C239" s="541" t="str">
        <f>'III. Inputs, Renewable Energy'!$O$186</f>
        <v>Front-end Fee, Public Guarantee</v>
      </c>
      <c r="D239" s="541"/>
      <c r="E239" s="541"/>
      <c r="F239" s="541"/>
      <c r="G239" s="1357"/>
      <c r="H239" s="1357">
        <f>IF($G$223&gt;0, $G$220*$G$223*'III. Inputs, Renewable Energy'!$S$186/10000,0)</f>
        <v>0</v>
      </c>
      <c r="I239" s="1382">
        <v>0</v>
      </c>
      <c r="J239" s="1382">
        <v>0</v>
      </c>
      <c r="K239" s="1382">
        <v>0</v>
      </c>
      <c r="L239" s="1382">
        <v>0</v>
      </c>
      <c r="M239" s="1382">
        <v>0</v>
      </c>
      <c r="N239" s="1382">
        <v>0</v>
      </c>
      <c r="O239" s="1382">
        <v>0</v>
      </c>
      <c r="P239" s="1382">
        <v>0</v>
      </c>
      <c r="Q239" s="1382">
        <v>0</v>
      </c>
      <c r="R239" s="1382">
        <v>0</v>
      </c>
      <c r="S239" s="1382">
        <v>0</v>
      </c>
      <c r="T239" s="1382">
        <v>0</v>
      </c>
      <c r="U239" s="1382">
        <v>0</v>
      </c>
      <c r="V239" s="1382">
        <v>0</v>
      </c>
      <c r="W239" s="1382">
        <v>0</v>
      </c>
      <c r="X239" s="1382">
        <v>0</v>
      </c>
      <c r="Y239" s="1382">
        <v>0</v>
      </c>
      <c r="Z239" s="1382">
        <v>0</v>
      </c>
      <c r="AA239" s="1383">
        <v>0</v>
      </c>
    </row>
    <row r="240" spans="2:27" x14ac:dyDescent="0.25">
      <c r="B240" s="540"/>
      <c r="C240" s="541" t="str">
        <f>'III. Inputs, Renewable Energy'!$O$187</f>
        <v>Annual Guarantee Fee</v>
      </c>
      <c r="D240" s="541"/>
      <c r="E240" s="541"/>
      <c r="F240" s="541"/>
      <c r="G240" s="1357"/>
      <c r="H240" s="1357">
        <f>IF(H$196&gt;$G$224,0,((H232+H235)/2)*$G$223*'III. Inputs, Renewable Energy'!$S$187/10000)</f>
        <v>0</v>
      </c>
      <c r="I240" s="1357">
        <f>IF(I$196&gt;$G$224,0,((I232+I235)/2)*$G$223*'III. Inputs, Renewable Energy'!$S$187/10000)</f>
        <v>0</v>
      </c>
      <c r="J240" s="1357">
        <f>IF(J$196&gt;$G$224,0,((J232+J235)/2)*$G$223*'III. Inputs, Renewable Energy'!$S$187/10000)</f>
        <v>0</v>
      </c>
      <c r="K240" s="1357">
        <f>IF(K$196&gt;$G$224,0,((K232+K235)/2)*$G$223*'III. Inputs, Renewable Energy'!$S$187/10000)</f>
        <v>0</v>
      </c>
      <c r="L240" s="1357">
        <f>IF(L$196&gt;$G$224,0,((L232+L235)/2)*$G$223*'III. Inputs, Renewable Energy'!$S$187/10000)</f>
        <v>0</v>
      </c>
      <c r="M240" s="1357">
        <f>IF(M$196&gt;$G$224,0,((M232+M235)/2)*$G$223*'III. Inputs, Renewable Energy'!$S$187/10000)</f>
        <v>0</v>
      </c>
      <c r="N240" s="1357">
        <f>IF(N$196&gt;$G$224,0,((N232+N235)/2)*$G$223*'III. Inputs, Renewable Energy'!$S$187/10000)</f>
        <v>0</v>
      </c>
      <c r="O240" s="1357">
        <f>IF(O$196&gt;$G$224,0,((O232+O235)/2)*$G$223*'III. Inputs, Renewable Energy'!$S$187/10000)</f>
        <v>0</v>
      </c>
      <c r="P240" s="1357">
        <f>IF(P$196&gt;$G$224,0,((P232+P235)/2)*$G$223*'III. Inputs, Renewable Energy'!$S$187/10000)</f>
        <v>0</v>
      </c>
      <c r="Q240" s="1357">
        <f>IF(Q$196&gt;$G$224,0,((Q232+Q235)/2)*$G$223*'III. Inputs, Renewable Energy'!$S$187/10000)</f>
        <v>0</v>
      </c>
      <c r="R240" s="1357">
        <f>IF(R$196&gt;$G$224,0,((R232+R235)/2)*$G$223*'III. Inputs, Renewable Energy'!$S$187/10000)</f>
        <v>0</v>
      </c>
      <c r="S240" s="1357">
        <f>IF(S$196&gt;$G$224,0,((S232+S235)/2)*$G$223*'III. Inputs, Renewable Energy'!$S$187/10000)</f>
        <v>0</v>
      </c>
      <c r="T240" s="1357">
        <f>IF(T$196&gt;$G$224,0,((T232+T235)/2)*$G$223*'III. Inputs, Renewable Energy'!$S$187/10000)</f>
        <v>0</v>
      </c>
      <c r="U240" s="1357">
        <f>IF(U$196&gt;$G$224,0,((U232+U235)/2)*$G$223*'III. Inputs, Renewable Energy'!$S$187/10000)</f>
        <v>0</v>
      </c>
      <c r="V240" s="1357">
        <f>IF(V$196&gt;$G$224,0,((V232+V235)/2)*$G$223*'III. Inputs, Renewable Energy'!$S$187/10000)</f>
        <v>0</v>
      </c>
      <c r="W240" s="1357">
        <f>IF(W$196&gt;$G$224,0,((W232+W235)/2)*$G$223*'III. Inputs, Renewable Energy'!$S$187/10000)</f>
        <v>0</v>
      </c>
      <c r="X240" s="1357">
        <f>IF(X$196&gt;$G$224,0,((X232+X235)/2)*$G$223*'III. Inputs, Renewable Energy'!$S$187/10000)</f>
        <v>0</v>
      </c>
      <c r="Y240" s="1357">
        <f>IF(Y$196&gt;$G$224,0,((Y232+Y235)/2)*$G$223*'III. Inputs, Renewable Energy'!$S$187/10000)</f>
        <v>0</v>
      </c>
      <c r="Z240" s="1357">
        <f>IF(Z$196&gt;$G$224,0,((Z232+Z235)/2)*$G$223*'III. Inputs, Renewable Energy'!$S$187/10000)</f>
        <v>0</v>
      </c>
      <c r="AA240" s="1360">
        <f>IF(AA$196&gt;$G$224,0,((AA232+AA235)/2)*$G$223*'III. Inputs, Renewable Energy'!$S$187/10000)</f>
        <v>0</v>
      </c>
    </row>
    <row r="241" spans="2:27" x14ac:dyDescent="0.25">
      <c r="B241" s="540"/>
      <c r="C241" s="541"/>
      <c r="D241" s="541"/>
      <c r="E241" s="541"/>
      <c r="F241" s="541"/>
      <c r="G241" s="541"/>
      <c r="H241" s="541"/>
      <c r="I241" s="541"/>
      <c r="J241" s="541"/>
      <c r="K241" s="541"/>
      <c r="L241" s="541"/>
      <c r="M241" s="541"/>
      <c r="N241" s="541"/>
      <c r="O241" s="541"/>
      <c r="P241" s="541"/>
      <c r="Q241" s="541"/>
      <c r="R241" s="541"/>
      <c r="S241" s="541"/>
      <c r="T241" s="541"/>
      <c r="U241" s="541"/>
      <c r="V241" s="541"/>
      <c r="W241" s="541"/>
      <c r="X241" s="541"/>
      <c r="Y241" s="541"/>
      <c r="Z241" s="541"/>
      <c r="AA241" s="542"/>
    </row>
    <row r="242" spans="2:27" x14ac:dyDescent="0.25">
      <c r="B242" s="553" t="s">
        <v>180</v>
      </c>
      <c r="C242" s="541"/>
      <c r="D242" s="541"/>
      <c r="E242" s="541"/>
      <c r="F242" s="541"/>
      <c r="G242" s="541"/>
      <c r="H242" s="541"/>
      <c r="I242" s="541"/>
      <c r="J242" s="541"/>
      <c r="K242" s="541"/>
      <c r="L242" s="541"/>
      <c r="M242" s="541"/>
      <c r="N242" s="541"/>
      <c r="O242" s="541"/>
      <c r="P242" s="541"/>
      <c r="Q242" s="541"/>
      <c r="R242" s="541"/>
      <c r="S242" s="541"/>
      <c r="T242" s="541"/>
      <c r="U242" s="541"/>
      <c r="V242" s="541"/>
      <c r="W242" s="541"/>
      <c r="X242" s="541"/>
      <c r="Y242" s="541"/>
      <c r="Z242" s="541"/>
      <c r="AA242" s="542"/>
    </row>
    <row r="243" spans="2:27" x14ac:dyDescent="0.25">
      <c r="B243" s="540"/>
      <c r="C243" s="599" t="s">
        <v>68</v>
      </c>
      <c r="D243" s="541"/>
      <c r="E243" s="541"/>
      <c r="F243" s="541"/>
      <c r="G243" s="1357">
        <f>IF('III. Inputs, Renewable Energy'!$S$33&gt;0,((('III. Inputs, Renewable Energy'!U242+('III. Inputs, Renewable Energy'!U238*'III. Inputs, Renewable Energy'!U240*'III. Inputs, Renewable Energy'!U241))*('III. Inputs, Renewable Energy'!U14/'III. Inputs, Renewable Energy'!U243))*'III. Inputs, Renewable Energy'!S29*SUM('III. Inputs, Renewable Energy'!$S$33)),0)</f>
        <v>0</v>
      </c>
      <c r="H243" s="541"/>
      <c r="I243" s="541"/>
      <c r="J243" s="541"/>
      <c r="K243" s="541"/>
      <c r="L243" s="541"/>
      <c r="M243" s="541"/>
      <c r="N243" s="541"/>
      <c r="O243" s="541"/>
      <c r="P243" s="541"/>
      <c r="Q243" s="541"/>
      <c r="R243" s="541"/>
      <c r="S243" s="541"/>
      <c r="T243" s="541"/>
      <c r="U243" s="541"/>
      <c r="V243" s="541"/>
      <c r="W243" s="541"/>
      <c r="X243" s="541"/>
      <c r="Y243" s="541"/>
      <c r="Z243" s="541"/>
      <c r="AA243" s="542"/>
    </row>
    <row r="244" spans="2:27" x14ac:dyDescent="0.25">
      <c r="B244" s="540"/>
      <c r="C244" s="599" t="s">
        <v>69</v>
      </c>
      <c r="D244" s="541"/>
      <c r="E244" s="541"/>
      <c r="F244" s="541"/>
      <c r="G244" s="555">
        <f>SUM('III. Inputs, Renewable Energy'!S45)</f>
        <v>0</v>
      </c>
      <c r="H244" s="541"/>
      <c r="I244" s="541"/>
      <c r="J244" s="541"/>
      <c r="K244" s="541"/>
      <c r="L244" s="541"/>
      <c r="M244" s="541"/>
      <c r="N244" s="541"/>
      <c r="O244" s="541"/>
      <c r="P244" s="541"/>
      <c r="Q244" s="541"/>
      <c r="R244" s="541"/>
      <c r="S244" s="541"/>
      <c r="T244" s="541"/>
      <c r="U244" s="541"/>
      <c r="V244" s="541"/>
      <c r="W244" s="541"/>
      <c r="X244" s="541"/>
      <c r="Y244" s="541"/>
      <c r="Z244" s="541"/>
      <c r="AA244" s="542"/>
    </row>
    <row r="245" spans="2:27" x14ac:dyDescent="0.25">
      <c r="B245" s="540"/>
      <c r="C245" s="599" t="s">
        <v>70</v>
      </c>
      <c r="D245" s="541"/>
      <c r="E245" s="541"/>
      <c r="F245" s="541"/>
      <c r="G245" s="773">
        <f>SUM('III. Inputs, Renewable Energy'!S40)</f>
        <v>0</v>
      </c>
      <c r="H245" s="541"/>
      <c r="I245" s="541"/>
      <c r="J245" s="541"/>
      <c r="K245" s="541"/>
      <c r="L245" s="541"/>
      <c r="M245" s="541"/>
      <c r="N245" s="541"/>
      <c r="O245" s="541"/>
      <c r="P245" s="541"/>
      <c r="Q245" s="541"/>
      <c r="R245" s="541"/>
      <c r="S245" s="541"/>
      <c r="T245" s="541"/>
      <c r="U245" s="541"/>
      <c r="V245" s="541"/>
      <c r="W245" s="541"/>
      <c r="X245" s="541"/>
      <c r="Y245" s="541"/>
      <c r="Z245" s="541"/>
      <c r="AA245" s="542"/>
    </row>
    <row r="246" spans="2:27" x14ac:dyDescent="0.25">
      <c r="B246" s="540"/>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2"/>
    </row>
    <row r="247" spans="2:27" x14ac:dyDescent="0.25">
      <c r="B247" s="540"/>
      <c r="C247" s="602" t="s">
        <v>67</v>
      </c>
      <c r="D247" s="541"/>
      <c r="E247" s="541"/>
      <c r="F247" s="541"/>
      <c r="G247" s="541"/>
      <c r="H247" s="541"/>
      <c r="I247" s="541"/>
      <c r="J247" s="541"/>
      <c r="K247" s="541"/>
      <c r="L247" s="541"/>
      <c r="M247" s="541"/>
      <c r="N247" s="541"/>
      <c r="O247" s="541"/>
      <c r="P247" s="541"/>
      <c r="Q247" s="541"/>
      <c r="R247" s="541"/>
      <c r="S247" s="541"/>
      <c r="T247" s="541"/>
      <c r="U247" s="541"/>
      <c r="V247" s="541"/>
      <c r="W247" s="541"/>
      <c r="X247" s="541"/>
      <c r="Y247" s="541"/>
      <c r="Z247" s="541"/>
      <c r="AA247" s="542"/>
    </row>
    <row r="248" spans="2:27" x14ac:dyDescent="0.25">
      <c r="B248" s="540"/>
      <c r="C248" s="541" t="s">
        <v>73</v>
      </c>
      <c r="D248" s="541"/>
      <c r="E248" s="541"/>
      <c r="F248" s="541"/>
      <c r="G248" s="1357"/>
      <c r="H248" s="1357">
        <f t="shared" ref="H248:AA248" si="66">IF(H$196&gt;$G$244,0,IPMT($G$245,H$196,$G$244,-$G$243))</f>
        <v>0</v>
      </c>
      <c r="I248" s="1357">
        <f t="shared" si="66"/>
        <v>0</v>
      </c>
      <c r="J248" s="1357">
        <f t="shared" si="66"/>
        <v>0</v>
      </c>
      <c r="K248" s="1357">
        <f t="shared" si="66"/>
        <v>0</v>
      </c>
      <c r="L248" s="1357">
        <f t="shared" si="66"/>
        <v>0</v>
      </c>
      <c r="M248" s="1357">
        <f t="shared" si="66"/>
        <v>0</v>
      </c>
      <c r="N248" s="1357">
        <f t="shared" si="66"/>
        <v>0</v>
      </c>
      <c r="O248" s="1357">
        <f t="shared" si="66"/>
        <v>0</v>
      </c>
      <c r="P248" s="1357">
        <f t="shared" si="66"/>
        <v>0</v>
      </c>
      <c r="Q248" s="1357">
        <f t="shared" si="66"/>
        <v>0</v>
      </c>
      <c r="R248" s="1357">
        <f t="shared" si="66"/>
        <v>0</v>
      </c>
      <c r="S248" s="1357">
        <f t="shared" si="66"/>
        <v>0</v>
      </c>
      <c r="T248" s="1357">
        <f t="shared" si="66"/>
        <v>0</v>
      </c>
      <c r="U248" s="1357">
        <f t="shared" si="66"/>
        <v>0</v>
      </c>
      <c r="V248" s="1357">
        <f t="shared" si="66"/>
        <v>0</v>
      </c>
      <c r="W248" s="1357">
        <f t="shared" si="66"/>
        <v>0</v>
      </c>
      <c r="X248" s="1357">
        <f t="shared" si="66"/>
        <v>0</v>
      </c>
      <c r="Y248" s="1357">
        <f t="shared" si="66"/>
        <v>0</v>
      </c>
      <c r="Z248" s="1357">
        <f t="shared" si="66"/>
        <v>0</v>
      </c>
      <c r="AA248" s="1360">
        <f t="shared" si="66"/>
        <v>0</v>
      </c>
    </row>
    <row r="249" spans="2:27" x14ac:dyDescent="0.25">
      <c r="B249" s="540"/>
      <c r="C249" s="551" t="s">
        <v>72</v>
      </c>
      <c r="D249" s="551"/>
      <c r="E249" s="551"/>
      <c r="F249" s="551"/>
      <c r="G249" s="1361"/>
      <c r="H249" s="1361">
        <f t="shared" ref="H249:AA249" si="67">IF(H$196&gt;$G$244,0,PPMT($G$245,H$196,$G$244,-$G$243))</f>
        <v>0</v>
      </c>
      <c r="I249" s="1361">
        <f t="shared" si="67"/>
        <v>0</v>
      </c>
      <c r="J249" s="1361">
        <f t="shared" si="67"/>
        <v>0</v>
      </c>
      <c r="K249" s="1361">
        <f t="shared" si="67"/>
        <v>0</v>
      </c>
      <c r="L249" s="1361">
        <f t="shared" si="67"/>
        <v>0</v>
      </c>
      <c r="M249" s="1361">
        <f t="shared" si="67"/>
        <v>0</v>
      </c>
      <c r="N249" s="1361">
        <f t="shared" si="67"/>
        <v>0</v>
      </c>
      <c r="O249" s="1361">
        <f t="shared" si="67"/>
        <v>0</v>
      </c>
      <c r="P249" s="1361">
        <f t="shared" si="67"/>
        <v>0</v>
      </c>
      <c r="Q249" s="1361">
        <f t="shared" si="67"/>
        <v>0</v>
      </c>
      <c r="R249" s="1361">
        <f t="shared" si="67"/>
        <v>0</v>
      </c>
      <c r="S249" s="1361">
        <f t="shared" si="67"/>
        <v>0</v>
      </c>
      <c r="T249" s="1361">
        <f t="shared" si="67"/>
        <v>0</v>
      </c>
      <c r="U249" s="1361">
        <f t="shared" si="67"/>
        <v>0</v>
      </c>
      <c r="V249" s="1361">
        <f t="shared" si="67"/>
        <v>0</v>
      </c>
      <c r="W249" s="1361">
        <f t="shared" si="67"/>
        <v>0</v>
      </c>
      <c r="X249" s="1361">
        <f t="shared" si="67"/>
        <v>0</v>
      </c>
      <c r="Y249" s="1361">
        <f t="shared" si="67"/>
        <v>0</v>
      </c>
      <c r="Z249" s="1361">
        <f t="shared" si="67"/>
        <v>0</v>
      </c>
      <c r="AA249" s="1362">
        <f t="shared" si="67"/>
        <v>0</v>
      </c>
    </row>
    <row r="250" spans="2:27" x14ac:dyDescent="0.25">
      <c r="B250" s="540"/>
      <c r="C250" s="541" t="s">
        <v>74</v>
      </c>
      <c r="D250" s="541"/>
      <c r="E250" s="541"/>
      <c r="F250" s="541"/>
      <c r="G250" s="1357"/>
      <c r="H250" s="1357">
        <f>SUM(H248:H249)</f>
        <v>0</v>
      </c>
      <c r="I250" s="1357">
        <f t="shared" ref="I250:AA250" si="68">SUM(I248:I249)</f>
        <v>0</v>
      </c>
      <c r="J250" s="1357">
        <f t="shared" si="68"/>
        <v>0</v>
      </c>
      <c r="K250" s="1357">
        <f t="shared" si="68"/>
        <v>0</v>
      </c>
      <c r="L250" s="1357">
        <f t="shared" si="68"/>
        <v>0</v>
      </c>
      <c r="M250" s="1357">
        <f t="shared" si="68"/>
        <v>0</v>
      </c>
      <c r="N250" s="1357">
        <f t="shared" si="68"/>
        <v>0</v>
      </c>
      <c r="O250" s="1357">
        <f t="shared" si="68"/>
        <v>0</v>
      </c>
      <c r="P250" s="1357">
        <f t="shared" si="68"/>
        <v>0</v>
      </c>
      <c r="Q250" s="1357">
        <f t="shared" si="68"/>
        <v>0</v>
      </c>
      <c r="R250" s="1357">
        <f t="shared" si="68"/>
        <v>0</v>
      </c>
      <c r="S250" s="1357">
        <f t="shared" si="68"/>
        <v>0</v>
      </c>
      <c r="T250" s="1357">
        <f t="shared" si="68"/>
        <v>0</v>
      </c>
      <c r="U250" s="1357">
        <f t="shared" si="68"/>
        <v>0</v>
      </c>
      <c r="V250" s="1357">
        <f t="shared" si="68"/>
        <v>0</v>
      </c>
      <c r="W250" s="1357">
        <f t="shared" si="68"/>
        <v>0</v>
      </c>
      <c r="X250" s="1357">
        <f t="shared" si="68"/>
        <v>0</v>
      </c>
      <c r="Y250" s="1357">
        <f t="shared" si="68"/>
        <v>0</v>
      </c>
      <c r="Z250" s="1357">
        <f t="shared" si="68"/>
        <v>0</v>
      </c>
      <c r="AA250" s="1360">
        <f t="shared" si="68"/>
        <v>0</v>
      </c>
    </row>
    <row r="251" spans="2:27" x14ac:dyDescent="0.25">
      <c r="B251" s="540"/>
      <c r="C251" s="541"/>
      <c r="D251" s="541"/>
      <c r="E251" s="541"/>
      <c r="F251" s="541"/>
      <c r="G251" s="1357"/>
      <c r="H251" s="1357"/>
      <c r="I251" s="1357"/>
      <c r="J251" s="1357"/>
      <c r="K251" s="1357"/>
      <c r="L251" s="1357"/>
      <c r="M251" s="1357"/>
      <c r="N251" s="1357"/>
      <c r="O251" s="1357"/>
      <c r="P251" s="1357"/>
      <c r="Q251" s="1357"/>
      <c r="R251" s="1357"/>
      <c r="S251" s="1357"/>
      <c r="T251" s="1357"/>
      <c r="U251" s="1357"/>
      <c r="V251" s="1357"/>
      <c r="W251" s="1357"/>
      <c r="X251" s="1357"/>
      <c r="Y251" s="1357"/>
      <c r="Z251" s="1357"/>
      <c r="AA251" s="1360"/>
    </row>
    <row r="252" spans="2:27" x14ac:dyDescent="0.25">
      <c r="B252" s="540"/>
      <c r="C252" s="603" t="s">
        <v>65</v>
      </c>
      <c r="D252" s="541"/>
      <c r="E252" s="541"/>
      <c r="F252" s="541"/>
      <c r="G252" s="1357"/>
      <c r="H252" s="1357"/>
      <c r="I252" s="1357"/>
      <c r="J252" s="1357"/>
      <c r="K252" s="1357"/>
      <c r="L252" s="1357"/>
      <c r="M252" s="1357"/>
      <c r="N252" s="1357"/>
      <c r="O252" s="1357"/>
      <c r="P252" s="1357"/>
      <c r="Q252" s="1357"/>
      <c r="R252" s="1357"/>
      <c r="S252" s="1357"/>
      <c r="T252" s="1357"/>
      <c r="U252" s="1357"/>
      <c r="V252" s="1357"/>
      <c r="W252" s="1357"/>
      <c r="X252" s="1357"/>
      <c r="Y252" s="1357"/>
      <c r="Z252" s="1357"/>
      <c r="AA252" s="1360"/>
    </row>
    <row r="253" spans="2:27" x14ac:dyDescent="0.25">
      <c r="B253" s="540"/>
      <c r="C253" s="541" t="s">
        <v>75</v>
      </c>
      <c r="D253" s="541"/>
      <c r="E253" s="541"/>
      <c r="F253" s="541"/>
      <c r="G253" s="1357">
        <v>0</v>
      </c>
      <c r="H253" s="1357">
        <f>G256</f>
        <v>0</v>
      </c>
      <c r="I253" s="1357">
        <f t="shared" ref="I253:AA253" si="69">H256</f>
        <v>0</v>
      </c>
      <c r="J253" s="1357">
        <f t="shared" si="69"/>
        <v>0</v>
      </c>
      <c r="K253" s="1357">
        <f t="shared" si="69"/>
        <v>0</v>
      </c>
      <c r="L253" s="1357">
        <f t="shared" si="69"/>
        <v>0</v>
      </c>
      <c r="M253" s="1357">
        <f t="shared" si="69"/>
        <v>0</v>
      </c>
      <c r="N253" s="1357">
        <f t="shared" si="69"/>
        <v>0</v>
      </c>
      <c r="O253" s="1357">
        <f t="shared" si="69"/>
        <v>0</v>
      </c>
      <c r="P253" s="1357">
        <f t="shared" si="69"/>
        <v>0</v>
      </c>
      <c r="Q253" s="1357">
        <f t="shared" si="69"/>
        <v>0</v>
      </c>
      <c r="R253" s="1357">
        <f t="shared" si="69"/>
        <v>0</v>
      </c>
      <c r="S253" s="1357">
        <f t="shared" si="69"/>
        <v>0</v>
      </c>
      <c r="T253" s="1357">
        <f t="shared" si="69"/>
        <v>0</v>
      </c>
      <c r="U253" s="1357">
        <f t="shared" si="69"/>
        <v>0</v>
      </c>
      <c r="V253" s="1357">
        <f t="shared" si="69"/>
        <v>0</v>
      </c>
      <c r="W253" s="1357">
        <f t="shared" si="69"/>
        <v>0</v>
      </c>
      <c r="X253" s="1357">
        <f t="shared" si="69"/>
        <v>0</v>
      </c>
      <c r="Y253" s="1357">
        <f t="shared" si="69"/>
        <v>0</v>
      </c>
      <c r="Z253" s="1357">
        <f t="shared" si="69"/>
        <v>0</v>
      </c>
      <c r="AA253" s="1360">
        <f t="shared" si="69"/>
        <v>0</v>
      </c>
    </row>
    <row r="254" spans="2:27" x14ac:dyDescent="0.25">
      <c r="B254" s="540"/>
      <c r="C254" s="541" t="s">
        <v>76</v>
      </c>
      <c r="D254" s="541"/>
      <c r="E254" s="541"/>
      <c r="F254" s="541"/>
      <c r="G254" s="1357">
        <f>G243</f>
        <v>0</v>
      </c>
      <c r="H254" s="1357">
        <v>0</v>
      </c>
      <c r="I254" s="1357">
        <v>0</v>
      </c>
      <c r="J254" s="1357">
        <v>0</v>
      </c>
      <c r="K254" s="1357">
        <v>0</v>
      </c>
      <c r="L254" s="1357">
        <v>0</v>
      </c>
      <c r="M254" s="1357">
        <v>0</v>
      </c>
      <c r="N254" s="1357">
        <v>0</v>
      </c>
      <c r="O254" s="1357">
        <v>0</v>
      </c>
      <c r="P254" s="1357">
        <v>0</v>
      </c>
      <c r="Q254" s="1357">
        <v>0</v>
      </c>
      <c r="R254" s="1357">
        <v>0</v>
      </c>
      <c r="S254" s="1357">
        <v>0</v>
      </c>
      <c r="T254" s="1357">
        <v>0</v>
      </c>
      <c r="U254" s="1357">
        <v>0</v>
      </c>
      <c r="V254" s="1357">
        <v>0</v>
      </c>
      <c r="W254" s="1357">
        <v>0</v>
      </c>
      <c r="X254" s="1357">
        <v>0</v>
      </c>
      <c r="Y254" s="1357">
        <v>0</v>
      </c>
      <c r="Z254" s="1357">
        <v>0</v>
      </c>
      <c r="AA254" s="1360">
        <v>0</v>
      </c>
    </row>
    <row r="255" spans="2:27" x14ac:dyDescent="0.25">
      <c r="B255" s="540"/>
      <c r="C255" s="551" t="s">
        <v>77</v>
      </c>
      <c r="D255" s="551"/>
      <c r="E255" s="551"/>
      <c r="F255" s="551"/>
      <c r="G255" s="1361">
        <v>0</v>
      </c>
      <c r="H255" s="1361">
        <f>-H249</f>
        <v>0</v>
      </c>
      <c r="I255" s="1361">
        <f t="shared" ref="I255:AA255" si="70">-I249</f>
        <v>0</v>
      </c>
      <c r="J255" s="1361">
        <f t="shared" si="70"/>
        <v>0</v>
      </c>
      <c r="K255" s="1361">
        <f t="shared" si="70"/>
        <v>0</v>
      </c>
      <c r="L255" s="1361">
        <f t="shared" si="70"/>
        <v>0</v>
      </c>
      <c r="M255" s="1361">
        <f t="shared" si="70"/>
        <v>0</v>
      </c>
      <c r="N255" s="1361">
        <f t="shared" si="70"/>
        <v>0</v>
      </c>
      <c r="O255" s="1361">
        <f t="shared" si="70"/>
        <v>0</v>
      </c>
      <c r="P255" s="1361">
        <f t="shared" si="70"/>
        <v>0</v>
      </c>
      <c r="Q255" s="1361">
        <f t="shared" si="70"/>
        <v>0</v>
      </c>
      <c r="R255" s="1361">
        <f t="shared" si="70"/>
        <v>0</v>
      </c>
      <c r="S255" s="1361">
        <f t="shared" si="70"/>
        <v>0</v>
      </c>
      <c r="T255" s="1361">
        <f t="shared" si="70"/>
        <v>0</v>
      </c>
      <c r="U255" s="1361">
        <f t="shared" si="70"/>
        <v>0</v>
      </c>
      <c r="V255" s="1361">
        <f t="shared" si="70"/>
        <v>0</v>
      </c>
      <c r="W255" s="1361">
        <f t="shared" si="70"/>
        <v>0</v>
      </c>
      <c r="X255" s="1361">
        <f t="shared" si="70"/>
        <v>0</v>
      </c>
      <c r="Y255" s="1361">
        <f t="shared" si="70"/>
        <v>0</v>
      </c>
      <c r="Z255" s="1361">
        <f t="shared" si="70"/>
        <v>0</v>
      </c>
      <c r="AA255" s="1362">
        <f t="shared" si="70"/>
        <v>0</v>
      </c>
    </row>
    <row r="256" spans="2:27" x14ac:dyDescent="0.25">
      <c r="B256" s="540"/>
      <c r="C256" s="541" t="s">
        <v>66</v>
      </c>
      <c r="D256" s="541"/>
      <c r="E256" s="541"/>
      <c r="F256" s="541"/>
      <c r="G256" s="1357">
        <f>SUM(G253:G255)</f>
        <v>0</v>
      </c>
      <c r="H256" s="1357">
        <f>SUM(H253:H255)</f>
        <v>0</v>
      </c>
      <c r="I256" s="1357">
        <f t="shared" ref="I256:AA256" si="71">SUM(I253:I255)</f>
        <v>0</v>
      </c>
      <c r="J256" s="1357">
        <f t="shared" si="71"/>
        <v>0</v>
      </c>
      <c r="K256" s="1357">
        <f t="shared" si="71"/>
        <v>0</v>
      </c>
      <c r="L256" s="1357">
        <f t="shared" si="71"/>
        <v>0</v>
      </c>
      <c r="M256" s="1357">
        <f t="shared" si="71"/>
        <v>0</v>
      </c>
      <c r="N256" s="1357">
        <f t="shared" si="71"/>
        <v>0</v>
      </c>
      <c r="O256" s="1357">
        <f t="shared" si="71"/>
        <v>0</v>
      </c>
      <c r="P256" s="1357">
        <f t="shared" si="71"/>
        <v>0</v>
      </c>
      <c r="Q256" s="1357">
        <f t="shared" si="71"/>
        <v>0</v>
      </c>
      <c r="R256" s="1357">
        <f t="shared" si="71"/>
        <v>0</v>
      </c>
      <c r="S256" s="1357">
        <f t="shared" si="71"/>
        <v>0</v>
      </c>
      <c r="T256" s="1357">
        <f t="shared" si="71"/>
        <v>0</v>
      </c>
      <c r="U256" s="1357">
        <f t="shared" si="71"/>
        <v>0</v>
      </c>
      <c r="V256" s="1357">
        <f t="shared" si="71"/>
        <v>0</v>
      </c>
      <c r="W256" s="1357">
        <f t="shared" si="71"/>
        <v>0</v>
      </c>
      <c r="X256" s="1357">
        <f t="shared" si="71"/>
        <v>0</v>
      </c>
      <c r="Y256" s="1357">
        <f t="shared" si="71"/>
        <v>0</v>
      </c>
      <c r="Z256" s="1357">
        <f t="shared" si="71"/>
        <v>0</v>
      </c>
      <c r="AA256" s="1360">
        <f t="shared" si="71"/>
        <v>0</v>
      </c>
    </row>
    <row r="257" spans="2:27" x14ac:dyDescent="0.25">
      <c r="B257" s="540"/>
      <c r="C257" s="541"/>
      <c r="D257" s="541"/>
      <c r="E257" s="541"/>
      <c r="F257" s="541"/>
      <c r="G257" s="1357"/>
      <c r="H257" s="1357"/>
      <c r="I257" s="1357"/>
      <c r="J257" s="1357"/>
      <c r="K257" s="1357"/>
      <c r="L257" s="1357"/>
      <c r="M257" s="1357"/>
      <c r="N257" s="1357"/>
      <c r="O257" s="1357"/>
      <c r="P257" s="1357"/>
      <c r="Q257" s="1357"/>
      <c r="R257" s="1357"/>
      <c r="S257" s="1357"/>
      <c r="T257" s="1357"/>
      <c r="U257" s="1357"/>
      <c r="V257" s="1357"/>
      <c r="W257" s="1357"/>
      <c r="X257" s="1357"/>
      <c r="Y257" s="1357"/>
      <c r="Z257" s="1357"/>
      <c r="AA257" s="1360"/>
    </row>
    <row r="258" spans="2:27" x14ac:dyDescent="0.25">
      <c r="B258" s="540"/>
      <c r="C258" s="603" t="s">
        <v>71</v>
      </c>
      <c r="D258" s="541"/>
      <c r="E258" s="541"/>
      <c r="F258" s="541"/>
      <c r="G258" s="1357"/>
      <c r="H258" s="1357"/>
      <c r="I258" s="1357"/>
      <c r="J258" s="1357"/>
      <c r="K258" s="1357"/>
      <c r="L258" s="1357"/>
      <c r="M258" s="1357"/>
      <c r="N258" s="1357"/>
      <c r="O258" s="1357"/>
      <c r="P258" s="1357"/>
      <c r="Q258" s="1357"/>
      <c r="R258" s="1357"/>
      <c r="S258" s="1357"/>
      <c r="T258" s="1357"/>
      <c r="U258" s="1357"/>
      <c r="V258" s="1357"/>
      <c r="W258" s="1357"/>
      <c r="X258" s="1357"/>
      <c r="Y258" s="1357"/>
      <c r="Z258" s="1357"/>
      <c r="AA258" s="1360"/>
    </row>
    <row r="259" spans="2:27" x14ac:dyDescent="0.25">
      <c r="B259" s="540"/>
      <c r="C259" s="541" t="s">
        <v>232</v>
      </c>
      <c r="D259" s="541"/>
      <c r="E259" s="541"/>
      <c r="F259" s="541"/>
      <c r="G259" s="1357"/>
      <c r="H259" s="1357">
        <f>IF($G$243&gt;0, $G$243*'III. Inputs, Renewable Energy'!$S$50/10000,0)</f>
        <v>0</v>
      </c>
      <c r="I259" s="1357">
        <v>0</v>
      </c>
      <c r="J259" s="1357">
        <v>0</v>
      </c>
      <c r="K259" s="1357">
        <v>0</v>
      </c>
      <c r="L259" s="1357">
        <v>0</v>
      </c>
      <c r="M259" s="1357">
        <v>0</v>
      </c>
      <c r="N259" s="1357">
        <v>0</v>
      </c>
      <c r="O259" s="1357">
        <v>0</v>
      </c>
      <c r="P259" s="1357">
        <v>0</v>
      </c>
      <c r="Q259" s="1357">
        <v>0</v>
      </c>
      <c r="R259" s="1357">
        <v>0</v>
      </c>
      <c r="S259" s="1357">
        <v>0</v>
      </c>
      <c r="T259" s="1357">
        <v>0</v>
      </c>
      <c r="U259" s="1357">
        <v>0</v>
      </c>
      <c r="V259" s="1357">
        <v>0</v>
      </c>
      <c r="W259" s="1357">
        <v>0</v>
      </c>
      <c r="X259" s="1357">
        <v>0</v>
      </c>
      <c r="Y259" s="1357">
        <v>0</v>
      </c>
      <c r="Z259" s="1357">
        <v>0</v>
      </c>
      <c r="AA259" s="1360">
        <v>0</v>
      </c>
    </row>
    <row r="260" spans="2:27" x14ac:dyDescent="0.25">
      <c r="B260" s="540"/>
      <c r="C260" s="541"/>
      <c r="D260" s="541"/>
      <c r="E260" s="541"/>
      <c r="F260" s="541"/>
      <c r="G260" s="541"/>
      <c r="H260" s="541"/>
      <c r="I260" s="541"/>
      <c r="J260" s="541"/>
      <c r="K260" s="541"/>
      <c r="L260" s="541"/>
      <c r="M260" s="541"/>
      <c r="N260" s="541"/>
      <c r="O260" s="541"/>
      <c r="P260" s="541"/>
      <c r="Q260" s="541"/>
      <c r="R260" s="541"/>
      <c r="S260" s="541"/>
      <c r="T260" s="541"/>
      <c r="U260" s="541"/>
      <c r="V260" s="541"/>
      <c r="W260" s="541"/>
      <c r="X260" s="541"/>
      <c r="Y260" s="541"/>
      <c r="Z260" s="541"/>
      <c r="AA260" s="542"/>
    </row>
    <row r="261" spans="2:27" x14ac:dyDescent="0.25">
      <c r="B261" s="540"/>
      <c r="C261" s="541"/>
      <c r="D261" s="541"/>
      <c r="E261" s="541"/>
      <c r="F261" s="541"/>
      <c r="G261" s="541"/>
      <c r="H261" s="541"/>
      <c r="I261" s="541"/>
      <c r="J261" s="541"/>
      <c r="K261" s="541"/>
      <c r="L261" s="541"/>
      <c r="M261" s="541"/>
      <c r="N261" s="541"/>
      <c r="O261" s="541"/>
      <c r="P261" s="541"/>
      <c r="Q261" s="541"/>
      <c r="R261" s="541"/>
      <c r="S261" s="541"/>
      <c r="T261" s="541"/>
      <c r="U261" s="541"/>
      <c r="V261" s="541"/>
      <c r="W261" s="541"/>
      <c r="X261" s="541"/>
      <c r="Y261" s="541"/>
      <c r="Z261" s="541"/>
      <c r="AA261" s="542"/>
    </row>
    <row r="262" spans="2:27" x14ac:dyDescent="0.25">
      <c r="B262" s="553" t="s">
        <v>86</v>
      </c>
      <c r="C262" s="541"/>
      <c r="D262" s="541"/>
      <c r="E262" s="541"/>
      <c r="F262" s="541"/>
      <c r="G262" s="541"/>
      <c r="H262" s="541"/>
      <c r="I262" s="541"/>
      <c r="J262" s="541"/>
      <c r="K262" s="541"/>
      <c r="L262" s="541"/>
      <c r="M262" s="541"/>
      <c r="N262" s="541"/>
      <c r="O262" s="541"/>
      <c r="P262" s="541"/>
      <c r="Q262" s="541"/>
      <c r="R262" s="541"/>
      <c r="S262" s="541"/>
      <c r="T262" s="541"/>
      <c r="U262" s="541"/>
      <c r="V262" s="541"/>
      <c r="W262" s="541"/>
      <c r="X262" s="541"/>
      <c r="Y262" s="541"/>
      <c r="Z262" s="541"/>
      <c r="AA262" s="542"/>
    </row>
    <row r="263" spans="2:27" x14ac:dyDescent="0.25">
      <c r="B263" s="540"/>
      <c r="C263" s="599" t="s">
        <v>84</v>
      </c>
      <c r="D263" s="541"/>
      <c r="E263" s="541"/>
      <c r="F263" s="1357">
        <f>IF('III. Inputs, Renewable Energy'!$S$189&gt;0, 'III. Inputs, Renewable Energy'!$U$15*'III. Inputs, Renewable Energy'!$U$14*'III. Inputs, Renewable Energy'!$S$28*'III. Inputs, Renewable Energy'!$S$189,0)</f>
        <v>0</v>
      </c>
      <c r="G263" s="541"/>
      <c r="H263" s="541"/>
      <c r="I263" s="541"/>
      <c r="J263" s="541"/>
      <c r="K263" s="541"/>
      <c r="L263" s="541"/>
      <c r="M263" s="541"/>
      <c r="N263" s="541"/>
      <c r="O263" s="541"/>
      <c r="P263" s="541"/>
      <c r="Q263" s="541"/>
      <c r="R263" s="541"/>
      <c r="S263" s="541"/>
      <c r="T263" s="541"/>
      <c r="U263" s="541"/>
      <c r="V263" s="541"/>
      <c r="W263" s="541"/>
      <c r="X263" s="541"/>
      <c r="Y263" s="541"/>
      <c r="Z263" s="541"/>
      <c r="AA263" s="542"/>
    </row>
    <row r="264" spans="2:27" x14ac:dyDescent="0.25">
      <c r="B264" s="540"/>
      <c r="C264" s="599" t="str">
        <f>'III. Inputs, Renewable Energy'!N190</f>
        <v xml:space="preserve">Term of Political Risk Insurance </v>
      </c>
      <c r="D264" s="541"/>
      <c r="E264" s="541"/>
      <c r="F264" s="555">
        <f>'III. Inputs, Renewable Energy'!S190</f>
        <v>0</v>
      </c>
      <c r="G264" s="541"/>
      <c r="H264" s="541"/>
      <c r="I264" s="541"/>
      <c r="J264" s="541"/>
      <c r="K264" s="541"/>
      <c r="L264" s="541"/>
      <c r="M264" s="541"/>
      <c r="N264" s="541"/>
      <c r="O264" s="541"/>
      <c r="P264" s="541"/>
      <c r="Q264" s="541"/>
      <c r="R264" s="541"/>
      <c r="S264" s="541"/>
      <c r="T264" s="541"/>
      <c r="U264" s="541"/>
      <c r="V264" s="541"/>
      <c r="W264" s="541"/>
      <c r="X264" s="541"/>
      <c r="Y264" s="541"/>
      <c r="Z264" s="541"/>
      <c r="AA264" s="542"/>
    </row>
    <row r="265" spans="2:27" x14ac:dyDescent="0.25">
      <c r="B265" s="540"/>
      <c r="C265" s="599" t="str">
        <f>'III. Inputs, Renewable Energy'!N191</f>
        <v xml:space="preserve">Front-end Fee </v>
      </c>
      <c r="D265" s="541"/>
      <c r="E265" s="541"/>
      <c r="F265" s="555">
        <f>'III. Inputs, Renewable Energy'!S191</f>
        <v>0</v>
      </c>
      <c r="G265" s="541"/>
      <c r="H265" s="541"/>
      <c r="I265" s="541"/>
      <c r="J265" s="541"/>
      <c r="K265" s="541"/>
      <c r="L265" s="541"/>
      <c r="M265" s="541"/>
      <c r="N265" s="541"/>
      <c r="O265" s="541"/>
      <c r="P265" s="541"/>
      <c r="Q265" s="541"/>
      <c r="R265" s="541"/>
      <c r="S265" s="541"/>
      <c r="T265" s="541"/>
      <c r="U265" s="541"/>
      <c r="V265" s="541"/>
      <c r="W265" s="541"/>
      <c r="X265" s="541"/>
      <c r="Y265" s="541"/>
      <c r="Z265" s="541"/>
      <c r="AA265" s="542"/>
    </row>
    <row r="266" spans="2:27" x14ac:dyDescent="0.25">
      <c r="B266" s="540"/>
      <c r="C266" s="599" t="str">
        <f>'III. Inputs, Renewable Energy'!N192</f>
        <v xml:space="preserve">Annual Political Risk Insurance Premium </v>
      </c>
      <c r="D266" s="541"/>
      <c r="E266" s="541"/>
      <c r="F266" s="555">
        <f>'III. Inputs, Renewable Energy'!S192</f>
        <v>0</v>
      </c>
      <c r="G266" s="541"/>
      <c r="H266" s="541"/>
      <c r="I266" s="541"/>
      <c r="J266" s="541"/>
      <c r="K266" s="541"/>
      <c r="L266" s="541"/>
      <c r="M266" s="541"/>
      <c r="N266" s="541"/>
      <c r="O266" s="541"/>
      <c r="P266" s="541"/>
      <c r="Q266" s="541"/>
      <c r="R266" s="541"/>
      <c r="S266" s="541"/>
      <c r="T266" s="541"/>
      <c r="U266" s="541"/>
      <c r="V266" s="541"/>
      <c r="W266" s="541"/>
      <c r="X266" s="541"/>
      <c r="Y266" s="541"/>
      <c r="Z266" s="541"/>
      <c r="AA266" s="542"/>
    </row>
    <row r="267" spans="2:27" x14ac:dyDescent="0.25">
      <c r="B267" s="540"/>
      <c r="C267" s="541"/>
      <c r="D267" s="541"/>
      <c r="E267" s="541"/>
      <c r="F267" s="541"/>
      <c r="G267" s="541"/>
      <c r="H267" s="541"/>
      <c r="I267" s="541"/>
      <c r="J267" s="541"/>
      <c r="K267" s="541"/>
      <c r="L267" s="541"/>
      <c r="M267" s="541"/>
      <c r="N267" s="541"/>
      <c r="O267" s="541"/>
      <c r="P267" s="541"/>
      <c r="Q267" s="541"/>
      <c r="R267" s="541"/>
      <c r="S267" s="541"/>
      <c r="T267" s="541"/>
      <c r="U267" s="541"/>
      <c r="V267" s="541"/>
      <c r="W267" s="541"/>
      <c r="X267" s="541"/>
      <c r="Y267" s="541"/>
      <c r="Z267" s="541"/>
      <c r="AA267" s="542"/>
    </row>
    <row r="268" spans="2:27" x14ac:dyDescent="0.25">
      <c r="B268" s="540"/>
      <c r="C268" s="603" t="s">
        <v>71</v>
      </c>
      <c r="D268" s="541"/>
      <c r="E268" s="541"/>
      <c r="F268" s="541"/>
      <c r="G268" s="541"/>
      <c r="H268" s="541"/>
      <c r="I268" s="541"/>
      <c r="J268" s="541"/>
      <c r="K268" s="541"/>
      <c r="L268" s="541"/>
      <c r="M268" s="541"/>
      <c r="N268" s="541"/>
      <c r="O268" s="541"/>
      <c r="P268" s="541"/>
      <c r="Q268" s="541"/>
      <c r="R268" s="541"/>
      <c r="S268" s="541"/>
      <c r="T268" s="541"/>
      <c r="U268" s="541"/>
      <c r="V268" s="541"/>
      <c r="W268" s="541"/>
      <c r="X268" s="541"/>
      <c r="Y268" s="541"/>
      <c r="Z268" s="541"/>
      <c r="AA268" s="542"/>
    </row>
    <row r="269" spans="2:27" x14ac:dyDescent="0.25">
      <c r="B269" s="540"/>
      <c r="C269" s="541" t="str">
        <f>'III. Inputs, Renewable Energy'!N191</f>
        <v xml:space="preserve">Front-end Fee </v>
      </c>
      <c r="D269" s="541"/>
      <c r="E269" s="541"/>
      <c r="F269" s="541"/>
      <c r="G269" s="541"/>
      <c r="H269" s="1357">
        <f>IF(F263&gt;0, F263*F265/10000, 0)</f>
        <v>0</v>
      </c>
      <c r="I269" s="1382">
        <v>0</v>
      </c>
      <c r="J269" s="1382">
        <v>0</v>
      </c>
      <c r="K269" s="1382">
        <v>0</v>
      </c>
      <c r="L269" s="1382">
        <v>0</v>
      </c>
      <c r="M269" s="1382">
        <v>0</v>
      </c>
      <c r="N269" s="1382">
        <v>0</v>
      </c>
      <c r="O269" s="1382">
        <v>0</v>
      </c>
      <c r="P269" s="1382">
        <v>0</v>
      </c>
      <c r="Q269" s="1382">
        <v>0</v>
      </c>
      <c r="R269" s="1382">
        <v>0</v>
      </c>
      <c r="S269" s="1382">
        <v>0</v>
      </c>
      <c r="T269" s="1382">
        <v>0</v>
      </c>
      <c r="U269" s="1382">
        <v>0</v>
      </c>
      <c r="V269" s="1382">
        <v>0</v>
      </c>
      <c r="W269" s="1382">
        <v>0</v>
      </c>
      <c r="X269" s="1382">
        <v>0</v>
      </c>
      <c r="Y269" s="1382">
        <v>0</v>
      </c>
      <c r="Z269" s="1382">
        <v>0</v>
      </c>
      <c r="AA269" s="1383">
        <v>0</v>
      </c>
    </row>
    <row r="270" spans="2:27" x14ac:dyDescent="0.25">
      <c r="B270" s="540"/>
      <c r="C270" s="551" t="str">
        <f>'III. Inputs, Renewable Energy'!N192</f>
        <v xml:space="preserve">Annual Political Risk Insurance Premium </v>
      </c>
      <c r="D270" s="551"/>
      <c r="E270" s="551"/>
      <c r="F270" s="551"/>
      <c r="G270" s="551"/>
      <c r="H270" s="1361">
        <f>IF(H196&gt;$F$264,0,($F$263*$F$266/10000))</f>
        <v>0</v>
      </c>
      <c r="I270" s="1361">
        <f t="shared" ref="I270:AA270" si="72">IF(I196&gt;$F$264,0,($F$263*$F$266/10000))</f>
        <v>0</v>
      </c>
      <c r="J270" s="1361">
        <f t="shared" si="72"/>
        <v>0</v>
      </c>
      <c r="K270" s="1361">
        <f t="shared" si="72"/>
        <v>0</v>
      </c>
      <c r="L270" s="1361">
        <f t="shared" si="72"/>
        <v>0</v>
      </c>
      <c r="M270" s="1361">
        <f t="shared" si="72"/>
        <v>0</v>
      </c>
      <c r="N270" s="1361">
        <f t="shared" si="72"/>
        <v>0</v>
      </c>
      <c r="O270" s="1361">
        <f t="shared" si="72"/>
        <v>0</v>
      </c>
      <c r="P270" s="1361">
        <f t="shared" si="72"/>
        <v>0</v>
      </c>
      <c r="Q270" s="1361">
        <f t="shared" si="72"/>
        <v>0</v>
      </c>
      <c r="R270" s="1361">
        <f t="shared" si="72"/>
        <v>0</v>
      </c>
      <c r="S270" s="1361">
        <f t="shared" si="72"/>
        <v>0</v>
      </c>
      <c r="T270" s="1361">
        <f t="shared" si="72"/>
        <v>0</v>
      </c>
      <c r="U270" s="1361">
        <f t="shared" si="72"/>
        <v>0</v>
      </c>
      <c r="V270" s="1361">
        <f t="shared" si="72"/>
        <v>0</v>
      </c>
      <c r="W270" s="1361">
        <f t="shared" si="72"/>
        <v>0</v>
      </c>
      <c r="X270" s="1361">
        <f t="shared" si="72"/>
        <v>0</v>
      </c>
      <c r="Y270" s="1361">
        <f t="shared" si="72"/>
        <v>0</v>
      </c>
      <c r="Z270" s="1361">
        <f t="shared" si="72"/>
        <v>0</v>
      </c>
      <c r="AA270" s="1362">
        <f t="shared" si="72"/>
        <v>0</v>
      </c>
    </row>
    <row r="271" spans="2:27" x14ac:dyDescent="0.25">
      <c r="B271" s="540"/>
      <c r="C271" s="541" t="s">
        <v>85</v>
      </c>
      <c r="D271" s="541"/>
      <c r="E271" s="541"/>
      <c r="F271" s="541"/>
      <c r="G271" s="541"/>
      <c r="H271" s="1357">
        <f>H269+H270</f>
        <v>0</v>
      </c>
      <c r="I271" s="1357">
        <f t="shared" ref="I271:AA271" si="73">I269+I270</f>
        <v>0</v>
      </c>
      <c r="J271" s="1357">
        <f t="shared" si="73"/>
        <v>0</v>
      </c>
      <c r="K271" s="1357">
        <f t="shared" si="73"/>
        <v>0</v>
      </c>
      <c r="L271" s="1357">
        <f t="shared" si="73"/>
        <v>0</v>
      </c>
      <c r="M271" s="1357">
        <f t="shared" si="73"/>
        <v>0</v>
      </c>
      <c r="N271" s="1357">
        <f t="shared" si="73"/>
        <v>0</v>
      </c>
      <c r="O271" s="1357">
        <f t="shared" si="73"/>
        <v>0</v>
      </c>
      <c r="P271" s="1357">
        <f t="shared" si="73"/>
        <v>0</v>
      </c>
      <c r="Q271" s="1357">
        <f t="shared" si="73"/>
        <v>0</v>
      </c>
      <c r="R271" s="1357">
        <f t="shared" si="73"/>
        <v>0</v>
      </c>
      <c r="S271" s="1357">
        <f t="shared" si="73"/>
        <v>0</v>
      </c>
      <c r="T271" s="1357">
        <f t="shared" si="73"/>
        <v>0</v>
      </c>
      <c r="U271" s="1357">
        <f t="shared" si="73"/>
        <v>0</v>
      </c>
      <c r="V271" s="1357">
        <f t="shared" si="73"/>
        <v>0</v>
      </c>
      <c r="W271" s="1357">
        <f t="shared" si="73"/>
        <v>0</v>
      </c>
      <c r="X271" s="1357">
        <f t="shared" si="73"/>
        <v>0</v>
      </c>
      <c r="Y271" s="1357">
        <f t="shared" si="73"/>
        <v>0</v>
      </c>
      <c r="Z271" s="1357">
        <f t="shared" si="73"/>
        <v>0</v>
      </c>
      <c r="AA271" s="1360">
        <f t="shared" si="73"/>
        <v>0</v>
      </c>
    </row>
    <row r="272" spans="2:27" ht="13.8" thickBot="1" x14ac:dyDescent="0.3">
      <c r="B272" s="571"/>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4"/>
    </row>
    <row r="273" spans="2:28" s="36" customFormat="1" ht="13.8" thickBot="1" x14ac:dyDescent="0.3"/>
    <row r="274" spans="2:28" x14ac:dyDescent="0.25">
      <c r="B274" s="605" t="s">
        <v>490</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7"/>
    </row>
    <row r="275" spans="2:28" x14ac:dyDescent="0.25">
      <c r="B275" s="608"/>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10"/>
    </row>
    <row r="276" spans="2:28" x14ac:dyDescent="0.25">
      <c r="B276" s="608" t="s">
        <v>257</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10"/>
    </row>
    <row r="277" spans="2:28" x14ac:dyDescent="0.25">
      <c r="B277" s="611"/>
      <c r="C277" s="612" t="s">
        <v>68</v>
      </c>
      <c r="D277" s="613" t="s">
        <v>22</v>
      </c>
      <c r="E277" s="609"/>
      <c r="F277" s="609"/>
      <c r="G277" s="1384">
        <f>IF('III. Inputs, Renewable Energy'!$V$31&gt;0,IF('III. Inputs, Renewable Energy'!U243=0,0,((('III. Inputs, Renewable Energy'!U242+('III. Inputs, Renewable Energy'!U238*'III. Inputs, Renewable Energy'!U240*'III. Inputs, Renewable Energy'!U241))*('III. Inputs, Renewable Energy'!U14/'III. Inputs, Renewable Energy'!U243))*'III. Inputs, Renewable Energy'!V29*SUM('III. Inputs, Renewable Energy'!$V$31))),0)</f>
        <v>0</v>
      </c>
      <c r="H277" s="609"/>
      <c r="I277" s="609"/>
      <c r="J277" s="609"/>
      <c r="K277" s="609"/>
      <c r="L277" s="609"/>
      <c r="M277" s="609"/>
      <c r="N277" s="609"/>
      <c r="O277" s="609"/>
      <c r="P277" s="609"/>
      <c r="Q277" s="609"/>
      <c r="R277" s="609"/>
      <c r="S277" s="609"/>
      <c r="T277" s="609"/>
      <c r="U277" s="609"/>
      <c r="V277" s="609"/>
      <c r="W277" s="609"/>
      <c r="X277" s="609"/>
      <c r="Y277" s="609"/>
      <c r="Z277" s="609"/>
      <c r="AA277" s="610"/>
    </row>
    <row r="278" spans="2:28" x14ac:dyDescent="0.25">
      <c r="B278" s="611"/>
      <c r="C278" s="612" t="s">
        <v>69</v>
      </c>
      <c r="D278" s="613" t="s">
        <v>20</v>
      </c>
      <c r="E278" s="609"/>
      <c r="F278" s="609"/>
      <c r="G278" s="614">
        <f>SUM('III. Inputs, Renewable Energy'!$V$43)</f>
        <v>0</v>
      </c>
      <c r="H278" s="609"/>
      <c r="I278" s="609"/>
      <c r="J278" s="609"/>
      <c r="K278" s="609"/>
      <c r="L278" s="609"/>
      <c r="M278" s="609"/>
      <c r="N278" s="609"/>
      <c r="O278" s="609"/>
      <c r="P278" s="609"/>
      <c r="Q278" s="609"/>
      <c r="R278" s="609"/>
      <c r="S278" s="609"/>
      <c r="T278" s="609"/>
      <c r="U278" s="609"/>
      <c r="V278" s="609"/>
      <c r="W278" s="609"/>
      <c r="X278" s="609"/>
      <c r="Y278" s="609"/>
      <c r="Z278" s="609"/>
      <c r="AA278" s="610"/>
    </row>
    <row r="279" spans="2:28" x14ac:dyDescent="0.25">
      <c r="B279" s="611"/>
      <c r="C279" s="612" t="s">
        <v>70</v>
      </c>
      <c r="D279" s="613" t="s">
        <v>16</v>
      </c>
      <c r="E279" s="609"/>
      <c r="F279" s="609"/>
      <c r="G279" s="615">
        <f>SUM('III. Inputs, Renewable Energy'!$V$38)</f>
        <v>0</v>
      </c>
      <c r="H279" s="609"/>
      <c r="I279" s="609"/>
      <c r="J279" s="609"/>
      <c r="K279" s="609"/>
      <c r="L279" s="609"/>
      <c r="M279" s="609"/>
      <c r="N279" s="609"/>
      <c r="O279" s="609"/>
      <c r="P279" s="609"/>
      <c r="Q279" s="609"/>
      <c r="R279" s="609"/>
      <c r="S279" s="609"/>
      <c r="T279" s="609"/>
      <c r="U279" s="609"/>
      <c r="V279" s="609"/>
      <c r="W279" s="609"/>
      <c r="X279" s="609"/>
      <c r="Y279" s="609"/>
      <c r="Z279" s="609"/>
      <c r="AA279" s="610"/>
    </row>
    <row r="280" spans="2:28" x14ac:dyDescent="0.25">
      <c r="B280" s="611"/>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10"/>
    </row>
    <row r="281" spans="2:28" x14ac:dyDescent="0.25">
      <c r="B281" s="611"/>
      <c r="C281" s="616" t="s">
        <v>67</v>
      </c>
      <c r="D281" s="609"/>
      <c r="E281" s="609"/>
      <c r="F281" s="609"/>
      <c r="G281" s="1198"/>
      <c r="H281" s="1198"/>
      <c r="I281" s="1198"/>
      <c r="J281" s="1198"/>
      <c r="K281" s="1198"/>
      <c r="L281" s="1198"/>
      <c r="M281" s="1198"/>
      <c r="N281" s="1198"/>
      <c r="O281" s="1198"/>
      <c r="P281" s="1198"/>
      <c r="Q281" s="1198"/>
      <c r="R281" s="1198"/>
      <c r="S281" s="1198"/>
      <c r="T281" s="1198"/>
      <c r="U281" s="1198"/>
      <c r="V281" s="1198"/>
      <c r="W281" s="1198"/>
      <c r="X281" s="1198"/>
      <c r="Y281" s="1198"/>
      <c r="Z281" s="1198"/>
      <c r="AA281" s="1199"/>
      <c r="AB281" s="1192"/>
    </row>
    <row r="282" spans="2:28" x14ac:dyDescent="0.25">
      <c r="B282" s="611"/>
      <c r="C282" s="609" t="s">
        <v>73</v>
      </c>
      <c r="D282" s="609"/>
      <c r="E282" s="609"/>
      <c r="F282" s="609"/>
      <c r="G282" s="1384"/>
      <c r="H282" s="1384">
        <f>IF($G$277=0,0,IF(H$196&gt;$G$278,0,IPMT($G$279,H$196,$G$278,-$G$277)))</f>
        <v>0</v>
      </c>
      <c r="I282" s="1384">
        <f t="shared" ref="I282:AA282" si="74">IF($G$277=0,0,IF(I$196&gt;$G$278,0,IPMT($G$279,I$196,$G$278,-$G$277)))</f>
        <v>0</v>
      </c>
      <c r="J282" s="1384">
        <f t="shared" si="74"/>
        <v>0</v>
      </c>
      <c r="K282" s="1384">
        <f t="shared" si="74"/>
        <v>0</v>
      </c>
      <c r="L282" s="1384">
        <f t="shared" si="74"/>
        <v>0</v>
      </c>
      <c r="M282" s="1384">
        <f t="shared" si="74"/>
        <v>0</v>
      </c>
      <c r="N282" s="1384">
        <f t="shared" si="74"/>
        <v>0</v>
      </c>
      <c r="O282" s="1384">
        <f t="shared" si="74"/>
        <v>0</v>
      </c>
      <c r="P282" s="1384">
        <f t="shared" si="74"/>
        <v>0</v>
      </c>
      <c r="Q282" s="1384">
        <f t="shared" si="74"/>
        <v>0</v>
      </c>
      <c r="R282" s="1384">
        <f t="shared" si="74"/>
        <v>0</v>
      </c>
      <c r="S282" s="1384">
        <f t="shared" si="74"/>
        <v>0</v>
      </c>
      <c r="T282" s="1384">
        <f t="shared" si="74"/>
        <v>0</v>
      </c>
      <c r="U282" s="1384">
        <f t="shared" si="74"/>
        <v>0</v>
      </c>
      <c r="V282" s="1384">
        <f t="shared" si="74"/>
        <v>0</v>
      </c>
      <c r="W282" s="1384">
        <f t="shared" si="74"/>
        <v>0</v>
      </c>
      <c r="X282" s="1384">
        <f t="shared" si="74"/>
        <v>0</v>
      </c>
      <c r="Y282" s="1384">
        <f t="shared" si="74"/>
        <v>0</v>
      </c>
      <c r="Z282" s="1384">
        <f t="shared" si="74"/>
        <v>0</v>
      </c>
      <c r="AA282" s="1385">
        <f t="shared" si="74"/>
        <v>0</v>
      </c>
      <c r="AB282" s="1192"/>
    </row>
    <row r="283" spans="2:28" x14ac:dyDescent="0.25">
      <c r="B283" s="611"/>
      <c r="C283" s="617" t="s">
        <v>72</v>
      </c>
      <c r="D283" s="617"/>
      <c r="E283" s="617"/>
      <c r="F283" s="617"/>
      <c r="G283" s="1386"/>
      <c r="H283" s="1386">
        <f>IF($G$277=0,0,IF(H$196&gt;$G$278,0,PPMT($G$279,H$196,$G$278,-$G$277)))</f>
        <v>0</v>
      </c>
      <c r="I283" s="1386">
        <f t="shared" ref="I283:AA283" si="75">IF($G$277=0,0,IF(I$196&gt;$G$278,0,PPMT($G$279,I$196,$G$278,-$G$277)))</f>
        <v>0</v>
      </c>
      <c r="J283" s="1386">
        <f t="shared" si="75"/>
        <v>0</v>
      </c>
      <c r="K283" s="1386">
        <f t="shared" si="75"/>
        <v>0</v>
      </c>
      <c r="L283" s="1386">
        <f t="shared" si="75"/>
        <v>0</v>
      </c>
      <c r="M283" s="1386">
        <f t="shared" si="75"/>
        <v>0</v>
      </c>
      <c r="N283" s="1386">
        <f t="shared" si="75"/>
        <v>0</v>
      </c>
      <c r="O283" s="1386">
        <f t="shared" si="75"/>
        <v>0</v>
      </c>
      <c r="P283" s="1386">
        <f t="shared" si="75"/>
        <v>0</v>
      </c>
      <c r="Q283" s="1386">
        <f t="shared" si="75"/>
        <v>0</v>
      </c>
      <c r="R283" s="1386">
        <f t="shared" si="75"/>
        <v>0</v>
      </c>
      <c r="S283" s="1386">
        <f t="shared" si="75"/>
        <v>0</v>
      </c>
      <c r="T283" s="1386">
        <f t="shared" si="75"/>
        <v>0</v>
      </c>
      <c r="U283" s="1386">
        <f t="shared" si="75"/>
        <v>0</v>
      </c>
      <c r="V283" s="1386">
        <f t="shared" si="75"/>
        <v>0</v>
      </c>
      <c r="W283" s="1386">
        <f t="shared" si="75"/>
        <v>0</v>
      </c>
      <c r="X283" s="1386">
        <f t="shared" si="75"/>
        <v>0</v>
      </c>
      <c r="Y283" s="1386">
        <f t="shared" si="75"/>
        <v>0</v>
      </c>
      <c r="Z283" s="1386">
        <f t="shared" si="75"/>
        <v>0</v>
      </c>
      <c r="AA283" s="1387">
        <f t="shared" si="75"/>
        <v>0</v>
      </c>
      <c r="AB283" s="1192"/>
    </row>
    <row r="284" spans="2:28" x14ac:dyDescent="0.25">
      <c r="B284" s="611"/>
      <c r="C284" s="609" t="s">
        <v>74</v>
      </c>
      <c r="D284" s="609"/>
      <c r="E284" s="609"/>
      <c r="F284" s="609"/>
      <c r="G284" s="1384"/>
      <c r="H284" s="1384">
        <f>SUM(H282:H283)</f>
        <v>0</v>
      </c>
      <c r="I284" s="1384">
        <f t="shared" ref="I284:AA284" si="76">SUM(I282:I283)</f>
        <v>0</v>
      </c>
      <c r="J284" s="1384">
        <f t="shared" si="76"/>
        <v>0</v>
      </c>
      <c r="K284" s="1384">
        <f t="shared" si="76"/>
        <v>0</v>
      </c>
      <c r="L284" s="1384">
        <f t="shared" si="76"/>
        <v>0</v>
      </c>
      <c r="M284" s="1384">
        <f t="shared" si="76"/>
        <v>0</v>
      </c>
      <c r="N284" s="1384">
        <f t="shared" si="76"/>
        <v>0</v>
      </c>
      <c r="O284" s="1384">
        <f t="shared" si="76"/>
        <v>0</v>
      </c>
      <c r="P284" s="1384">
        <f t="shared" si="76"/>
        <v>0</v>
      </c>
      <c r="Q284" s="1384">
        <f t="shared" si="76"/>
        <v>0</v>
      </c>
      <c r="R284" s="1384">
        <f t="shared" si="76"/>
        <v>0</v>
      </c>
      <c r="S284" s="1384">
        <f t="shared" si="76"/>
        <v>0</v>
      </c>
      <c r="T284" s="1384">
        <f t="shared" si="76"/>
        <v>0</v>
      </c>
      <c r="U284" s="1384">
        <f t="shared" si="76"/>
        <v>0</v>
      </c>
      <c r="V284" s="1384">
        <f t="shared" si="76"/>
        <v>0</v>
      </c>
      <c r="W284" s="1384">
        <f t="shared" si="76"/>
        <v>0</v>
      </c>
      <c r="X284" s="1384">
        <f t="shared" si="76"/>
        <v>0</v>
      </c>
      <c r="Y284" s="1384">
        <f t="shared" si="76"/>
        <v>0</v>
      </c>
      <c r="Z284" s="1384">
        <f t="shared" si="76"/>
        <v>0</v>
      </c>
      <c r="AA284" s="1385">
        <f t="shared" si="76"/>
        <v>0</v>
      </c>
      <c r="AB284" s="1192"/>
    </row>
    <row r="285" spans="2:28" x14ac:dyDescent="0.25">
      <c r="B285" s="611"/>
      <c r="C285" s="609"/>
      <c r="D285" s="609"/>
      <c r="E285" s="609"/>
      <c r="F285" s="609"/>
      <c r="G285" s="1384"/>
      <c r="H285" s="1384"/>
      <c r="I285" s="1384"/>
      <c r="J285" s="1384"/>
      <c r="K285" s="1384"/>
      <c r="L285" s="1384"/>
      <c r="M285" s="1384"/>
      <c r="N285" s="1384"/>
      <c r="O285" s="1384"/>
      <c r="P285" s="1384"/>
      <c r="Q285" s="1384"/>
      <c r="R285" s="1384"/>
      <c r="S285" s="1384"/>
      <c r="T285" s="1384"/>
      <c r="U285" s="1384"/>
      <c r="V285" s="1384"/>
      <c r="W285" s="1384"/>
      <c r="X285" s="1384"/>
      <c r="Y285" s="1384"/>
      <c r="Z285" s="1384"/>
      <c r="AA285" s="1385"/>
      <c r="AB285" s="1192"/>
    </row>
    <row r="286" spans="2:28" x14ac:dyDescent="0.25">
      <c r="B286" s="611"/>
      <c r="C286" s="618" t="s">
        <v>65</v>
      </c>
      <c r="D286" s="609"/>
      <c r="E286" s="609"/>
      <c r="F286" s="609"/>
      <c r="G286" s="1384"/>
      <c r="H286" s="1384"/>
      <c r="I286" s="1384"/>
      <c r="J286" s="1384"/>
      <c r="K286" s="1384"/>
      <c r="L286" s="1384"/>
      <c r="M286" s="1384"/>
      <c r="N286" s="1384"/>
      <c r="O286" s="1384"/>
      <c r="P286" s="1384"/>
      <c r="Q286" s="1384"/>
      <c r="R286" s="1384"/>
      <c r="S286" s="1384"/>
      <c r="T286" s="1384"/>
      <c r="U286" s="1384"/>
      <c r="V286" s="1384"/>
      <c r="W286" s="1384"/>
      <c r="X286" s="1384"/>
      <c r="Y286" s="1384"/>
      <c r="Z286" s="1384"/>
      <c r="AA286" s="1385"/>
      <c r="AB286" s="1192"/>
    </row>
    <row r="287" spans="2:28" x14ac:dyDescent="0.25">
      <c r="B287" s="611"/>
      <c r="C287" s="609" t="s">
        <v>75</v>
      </c>
      <c r="D287" s="609"/>
      <c r="E287" s="609"/>
      <c r="F287" s="609"/>
      <c r="G287" s="1384">
        <v>0</v>
      </c>
      <c r="H287" s="1384">
        <f t="shared" ref="H287:AA287" si="77">G290</f>
        <v>0</v>
      </c>
      <c r="I287" s="1384">
        <f t="shared" si="77"/>
        <v>0</v>
      </c>
      <c r="J287" s="1384">
        <f t="shared" si="77"/>
        <v>0</v>
      </c>
      <c r="K287" s="1384">
        <f t="shared" si="77"/>
        <v>0</v>
      </c>
      <c r="L287" s="1384">
        <f t="shared" si="77"/>
        <v>0</v>
      </c>
      <c r="M287" s="1384">
        <f t="shared" si="77"/>
        <v>0</v>
      </c>
      <c r="N287" s="1384">
        <f t="shared" si="77"/>
        <v>0</v>
      </c>
      <c r="O287" s="1384">
        <f t="shared" si="77"/>
        <v>0</v>
      </c>
      <c r="P287" s="1384">
        <f t="shared" si="77"/>
        <v>0</v>
      </c>
      <c r="Q287" s="1384">
        <f t="shared" si="77"/>
        <v>0</v>
      </c>
      <c r="R287" s="1384">
        <f t="shared" si="77"/>
        <v>0</v>
      </c>
      <c r="S287" s="1384">
        <f t="shared" si="77"/>
        <v>0</v>
      </c>
      <c r="T287" s="1384">
        <f t="shared" si="77"/>
        <v>0</v>
      </c>
      <c r="U287" s="1384">
        <f t="shared" si="77"/>
        <v>0</v>
      </c>
      <c r="V287" s="1384">
        <f t="shared" si="77"/>
        <v>0</v>
      </c>
      <c r="W287" s="1384">
        <f t="shared" si="77"/>
        <v>0</v>
      </c>
      <c r="X287" s="1384">
        <f t="shared" si="77"/>
        <v>0</v>
      </c>
      <c r="Y287" s="1384">
        <f t="shared" si="77"/>
        <v>0</v>
      </c>
      <c r="Z287" s="1384">
        <f t="shared" si="77"/>
        <v>0</v>
      </c>
      <c r="AA287" s="1385">
        <f t="shared" si="77"/>
        <v>0</v>
      </c>
      <c r="AB287" s="1192"/>
    </row>
    <row r="288" spans="2:28" x14ac:dyDescent="0.25">
      <c r="B288" s="611"/>
      <c r="C288" s="609" t="s">
        <v>76</v>
      </c>
      <c r="D288" s="609"/>
      <c r="E288" s="609"/>
      <c r="F288" s="609"/>
      <c r="G288" s="1384">
        <f>G277</f>
        <v>0</v>
      </c>
      <c r="H288" s="1384">
        <v>0</v>
      </c>
      <c r="I288" s="1384">
        <v>0</v>
      </c>
      <c r="J288" s="1384">
        <v>0</v>
      </c>
      <c r="K288" s="1384">
        <v>0</v>
      </c>
      <c r="L288" s="1384">
        <v>0</v>
      </c>
      <c r="M288" s="1384">
        <v>0</v>
      </c>
      <c r="N288" s="1384">
        <v>0</v>
      </c>
      <c r="O288" s="1384">
        <v>0</v>
      </c>
      <c r="P288" s="1384">
        <v>0</v>
      </c>
      <c r="Q288" s="1384">
        <v>0</v>
      </c>
      <c r="R288" s="1384">
        <v>0</v>
      </c>
      <c r="S288" s="1384">
        <v>0</v>
      </c>
      <c r="T288" s="1384">
        <v>0</v>
      </c>
      <c r="U288" s="1384">
        <v>0</v>
      </c>
      <c r="V288" s="1384">
        <v>0</v>
      </c>
      <c r="W288" s="1384">
        <v>0</v>
      </c>
      <c r="X288" s="1384">
        <v>0</v>
      </c>
      <c r="Y288" s="1384">
        <v>0</v>
      </c>
      <c r="Z288" s="1384">
        <v>0</v>
      </c>
      <c r="AA288" s="1385">
        <v>0</v>
      </c>
      <c r="AB288" s="1192"/>
    </row>
    <row r="289" spans="2:28" x14ac:dyDescent="0.25">
      <c r="B289" s="611"/>
      <c r="C289" s="617" t="s">
        <v>77</v>
      </c>
      <c r="D289" s="617"/>
      <c r="E289" s="617"/>
      <c r="F289" s="617"/>
      <c r="G289" s="1386">
        <v>0</v>
      </c>
      <c r="H289" s="1386">
        <f t="shared" ref="H289:AA289" si="78">-H283</f>
        <v>0</v>
      </c>
      <c r="I289" s="1386">
        <f t="shared" si="78"/>
        <v>0</v>
      </c>
      <c r="J289" s="1386">
        <f t="shared" si="78"/>
        <v>0</v>
      </c>
      <c r="K289" s="1386">
        <f t="shared" si="78"/>
        <v>0</v>
      </c>
      <c r="L289" s="1386">
        <f t="shared" si="78"/>
        <v>0</v>
      </c>
      <c r="M289" s="1386">
        <f t="shared" si="78"/>
        <v>0</v>
      </c>
      <c r="N289" s="1386">
        <f t="shared" si="78"/>
        <v>0</v>
      </c>
      <c r="O289" s="1386">
        <f t="shared" si="78"/>
        <v>0</v>
      </c>
      <c r="P289" s="1386">
        <f t="shared" si="78"/>
        <v>0</v>
      </c>
      <c r="Q289" s="1386">
        <f t="shared" si="78"/>
        <v>0</v>
      </c>
      <c r="R289" s="1386">
        <f t="shared" si="78"/>
        <v>0</v>
      </c>
      <c r="S289" s="1386">
        <f t="shared" si="78"/>
        <v>0</v>
      </c>
      <c r="T289" s="1386">
        <f t="shared" si="78"/>
        <v>0</v>
      </c>
      <c r="U289" s="1386">
        <f t="shared" si="78"/>
        <v>0</v>
      </c>
      <c r="V289" s="1386">
        <f t="shared" si="78"/>
        <v>0</v>
      </c>
      <c r="W289" s="1386">
        <f t="shared" si="78"/>
        <v>0</v>
      </c>
      <c r="X289" s="1386">
        <f t="shared" si="78"/>
        <v>0</v>
      </c>
      <c r="Y289" s="1386">
        <f t="shared" si="78"/>
        <v>0</v>
      </c>
      <c r="Z289" s="1386">
        <f t="shared" si="78"/>
        <v>0</v>
      </c>
      <c r="AA289" s="1387">
        <f t="shared" si="78"/>
        <v>0</v>
      </c>
      <c r="AB289" s="1192"/>
    </row>
    <row r="290" spans="2:28" x14ac:dyDescent="0.25">
      <c r="B290" s="611"/>
      <c r="C290" s="609" t="s">
        <v>66</v>
      </c>
      <c r="D290" s="609"/>
      <c r="E290" s="609"/>
      <c r="F290" s="609"/>
      <c r="G290" s="1384">
        <f t="shared" ref="G290:AA290" si="79">SUM(G287:G289)</f>
        <v>0</v>
      </c>
      <c r="H290" s="1384">
        <f t="shared" si="79"/>
        <v>0</v>
      </c>
      <c r="I290" s="1384">
        <f t="shared" si="79"/>
        <v>0</v>
      </c>
      <c r="J290" s="1384">
        <f t="shared" si="79"/>
        <v>0</v>
      </c>
      <c r="K290" s="1384">
        <f t="shared" si="79"/>
        <v>0</v>
      </c>
      <c r="L290" s="1384">
        <f t="shared" si="79"/>
        <v>0</v>
      </c>
      <c r="M290" s="1384">
        <f t="shared" si="79"/>
        <v>0</v>
      </c>
      <c r="N290" s="1384">
        <f t="shared" si="79"/>
        <v>0</v>
      </c>
      <c r="O290" s="1384">
        <f t="shared" si="79"/>
        <v>0</v>
      </c>
      <c r="P290" s="1384">
        <f t="shared" si="79"/>
        <v>0</v>
      </c>
      <c r="Q290" s="1384">
        <f t="shared" si="79"/>
        <v>0</v>
      </c>
      <c r="R290" s="1384">
        <f t="shared" si="79"/>
        <v>0</v>
      </c>
      <c r="S290" s="1384">
        <f t="shared" si="79"/>
        <v>0</v>
      </c>
      <c r="T290" s="1384">
        <f t="shared" si="79"/>
        <v>0</v>
      </c>
      <c r="U290" s="1384">
        <f t="shared" si="79"/>
        <v>0</v>
      </c>
      <c r="V290" s="1384">
        <f t="shared" si="79"/>
        <v>0</v>
      </c>
      <c r="W290" s="1384">
        <f t="shared" si="79"/>
        <v>0</v>
      </c>
      <c r="X290" s="1384">
        <f t="shared" si="79"/>
        <v>0</v>
      </c>
      <c r="Y290" s="1384">
        <f t="shared" si="79"/>
        <v>0</v>
      </c>
      <c r="Z290" s="1384">
        <f t="shared" si="79"/>
        <v>0</v>
      </c>
      <c r="AA290" s="1385">
        <f t="shared" si="79"/>
        <v>0</v>
      </c>
      <c r="AB290" s="1192"/>
    </row>
    <row r="291" spans="2:28" x14ac:dyDescent="0.25">
      <c r="B291" s="611"/>
      <c r="C291" s="609"/>
      <c r="D291" s="609"/>
      <c r="E291" s="609"/>
      <c r="F291" s="609"/>
      <c r="G291" s="1384"/>
      <c r="H291" s="1384"/>
      <c r="I291" s="1384"/>
      <c r="J291" s="1384"/>
      <c r="K291" s="1384"/>
      <c r="L291" s="1384"/>
      <c r="M291" s="1384"/>
      <c r="N291" s="1384"/>
      <c r="O291" s="1384"/>
      <c r="P291" s="1384"/>
      <c r="Q291" s="1384"/>
      <c r="R291" s="1384"/>
      <c r="S291" s="1384"/>
      <c r="T291" s="1384"/>
      <c r="U291" s="1384"/>
      <c r="V291" s="1384"/>
      <c r="W291" s="1384"/>
      <c r="X291" s="1384"/>
      <c r="Y291" s="1384"/>
      <c r="Z291" s="1384"/>
      <c r="AA291" s="1385"/>
      <c r="AB291" s="1192"/>
    </row>
    <row r="292" spans="2:28" x14ac:dyDescent="0.25">
      <c r="B292" s="611"/>
      <c r="C292" s="618" t="s">
        <v>71</v>
      </c>
      <c r="D292" s="609"/>
      <c r="E292" s="609"/>
      <c r="F292" s="609"/>
      <c r="G292" s="1384"/>
      <c r="H292" s="1384"/>
      <c r="I292" s="1384"/>
      <c r="J292" s="1384"/>
      <c r="K292" s="1384"/>
      <c r="L292" s="1384"/>
      <c r="M292" s="1384"/>
      <c r="N292" s="1384"/>
      <c r="O292" s="1384"/>
      <c r="P292" s="1384"/>
      <c r="Q292" s="1384"/>
      <c r="R292" s="1384"/>
      <c r="S292" s="1384"/>
      <c r="T292" s="1384"/>
      <c r="U292" s="1384"/>
      <c r="V292" s="1384"/>
      <c r="W292" s="1384"/>
      <c r="X292" s="1384"/>
      <c r="Y292" s="1384"/>
      <c r="Z292" s="1384"/>
      <c r="AA292" s="1385"/>
      <c r="AB292" s="1192"/>
    </row>
    <row r="293" spans="2:28" x14ac:dyDescent="0.25">
      <c r="B293" s="611"/>
      <c r="C293" s="609" t="s">
        <v>234</v>
      </c>
      <c r="D293" s="609"/>
      <c r="E293" s="609"/>
      <c r="F293" s="609"/>
      <c r="G293" s="1384"/>
      <c r="H293" s="1384">
        <f>IF($G$277&gt;0, $G$277*'III. Inputs, Renewable Energy'!$V$48/10000,0)</f>
        <v>0</v>
      </c>
      <c r="I293" s="1388">
        <v>0</v>
      </c>
      <c r="J293" s="1388">
        <v>0</v>
      </c>
      <c r="K293" s="1388">
        <v>0</v>
      </c>
      <c r="L293" s="1388">
        <v>0</v>
      </c>
      <c r="M293" s="1388">
        <v>0</v>
      </c>
      <c r="N293" s="1388">
        <v>0</v>
      </c>
      <c r="O293" s="1388">
        <v>0</v>
      </c>
      <c r="P293" s="1388">
        <v>0</v>
      </c>
      <c r="Q293" s="1388">
        <v>0</v>
      </c>
      <c r="R293" s="1388">
        <v>0</v>
      </c>
      <c r="S293" s="1388">
        <v>0</v>
      </c>
      <c r="T293" s="1388">
        <v>0</v>
      </c>
      <c r="U293" s="1388">
        <v>0</v>
      </c>
      <c r="V293" s="1388">
        <v>0</v>
      </c>
      <c r="W293" s="1388">
        <v>0</v>
      </c>
      <c r="X293" s="1388">
        <v>0</v>
      </c>
      <c r="Y293" s="1388">
        <v>0</v>
      </c>
      <c r="Z293" s="1388">
        <v>0</v>
      </c>
      <c r="AA293" s="1389">
        <v>0</v>
      </c>
      <c r="AB293" s="1192"/>
    </row>
    <row r="294" spans="2:28" x14ac:dyDescent="0.25">
      <c r="B294" s="611"/>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10"/>
    </row>
    <row r="295" spans="2:28" x14ac:dyDescent="0.25">
      <c r="B295" s="608" t="s">
        <v>179</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10"/>
    </row>
    <row r="296" spans="2:28" x14ac:dyDescent="0.25">
      <c r="B296" s="611"/>
      <c r="C296" s="612" t="s">
        <v>68</v>
      </c>
      <c r="D296" s="613" t="s">
        <v>22</v>
      </c>
      <c r="E296" s="609"/>
      <c r="F296" s="609"/>
      <c r="G296" s="1384">
        <f>IF('III. Inputs, Renewable Energy'!$V$32&gt;0,IF('III. Inputs, Renewable Energy'!U243=0,0,((('III. Inputs, Renewable Energy'!U242+('III. Inputs, Renewable Energy'!U238*'III. Inputs, Renewable Energy'!U240*'III. Inputs, Renewable Energy'!U241))*('III. Inputs, Renewable Energy'!U14/'III. Inputs, Renewable Energy'!U243))*'III. Inputs, Renewable Energy'!V29*SUM('III. Inputs, Renewable Energy'!$V$32))),0)</f>
        <v>0</v>
      </c>
      <c r="H296" s="609"/>
      <c r="I296" s="609"/>
      <c r="J296" s="609"/>
      <c r="K296" s="609"/>
      <c r="L296" s="609"/>
      <c r="M296" s="609"/>
      <c r="N296" s="609"/>
      <c r="O296" s="609"/>
      <c r="P296" s="609"/>
      <c r="Q296" s="609"/>
      <c r="R296" s="609"/>
      <c r="S296" s="609"/>
      <c r="T296" s="609"/>
      <c r="U296" s="609"/>
      <c r="V296" s="609"/>
      <c r="W296" s="609"/>
      <c r="X296" s="609"/>
      <c r="Y296" s="609"/>
      <c r="Z296" s="609"/>
      <c r="AA296" s="610"/>
    </row>
    <row r="297" spans="2:28" x14ac:dyDescent="0.25">
      <c r="B297" s="611"/>
      <c r="C297" s="612" t="s">
        <v>69</v>
      </c>
      <c r="D297" s="613" t="s">
        <v>20</v>
      </c>
      <c r="E297" s="609"/>
      <c r="F297" s="609"/>
      <c r="G297" s="614">
        <f>SUM('III. Inputs, Renewable Energy'!$V$44)</f>
        <v>0</v>
      </c>
      <c r="H297" s="609"/>
      <c r="I297" s="609"/>
      <c r="J297" s="609"/>
      <c r="K297" s="609"/>
      <c r="L297" s="609"/>
      <c r="M297" s="609"/>
      <c r="N297" s="609"/>
      <c r="O297" s="609"/>
      <c r="P297" s="609"/>
      <c r="Q297" s="609"/>
      <c r="R297" s="609"/>
      <c r="S297" s="609"/>
      <c r="T297" s="609"/>
      <c r="U297" s="609"/>
      <c r="V297" s="609"/>
      <c r="W297" s="609"/>
      <c r="X297" s="609"/>
      <c r="Y297" s="609"/>
      <c r="Z297" s="609"/>
      <c r="AA297" s="610"/>
    </row>
    <row r="298" spans="2:28" x14ac:dyDescent="0.25">
      <c r="B298" s="611"/>
      <c r="C298" s="612" t="s">
        <v>70</v>
      </c>
      <c r="D298" s="613" t="s">
        <v>16</v>
      </c>
      <c r="E298" s="609"/>
      <c r="F298" s="609"/>
      <c r="G298" s="615">
        <f>SUM('III. Inputs, Renewable Energy'!$V$39)</f>
        <v>0</v>
      </c>
      <c r="H298" s="609"/>
      <c r="I298" s="609"/>
      <c r="J298" s="609"/>
      <c r="K298" s="609"/>
      <c r="L298" s="609"/>
      <c r="M298" s="609"/>
      <c r="N298" s="609"/>
      <c r="O298" s="609"/>
      <c r="P298" s="609"/>
      <c r="Q298" s="609"/>
      <c r="R298" s="609"/>
      <c r="S298" s="609"/>
      <c r="T298" s="609"/>
      <c r="U298" s="609"/>
      <c r="V298" s="609"/>
      <c r="W298" s="609"/>
      <c r="X298" s="609"/>
      <c r="Y298" s="609"/>
      <c r="Z298" s="609"/>
      <c r="AA298" s="610"/>
    </row>
    <row r="299" spans="2:28" x14ac:dyDescent="0.25">
      <c r="B299" s="611"/>
      <c r="C299" s="609" t="s">
        <v>235</v>
      </c>
      <c r="D299" s="613" t="s">
        <v>16</v>
      </c>
      <c r="E299" s="609"/>
      <c r="F299" s="609"/>
      <c r="G299" s="619">
        <f>IF('III. Inputs, Renewable Energy'!$V$118="N", 0, 'III. Inputs, Renewable Energy'!$V$184)</f>
        <v>0</v>
      </c>
      <c r="H299" s="609"/>
      <c r="I299" s="609"/>
      <c r="J299" s="609"/>
      <c r="K299" s="609"/>
      <c r="L299" s="609"/>
      <c r="M299" s="609"/>
      <c r="N299" s="609"/>
      <c r="O299" s="609"/>
      <c r="P299" s="609"/>
      <c r="Q299" s="609"/>
      <c r="R299" s="609"/>
      <c r="S299" s="609"/>
      <c r="T299" s="609"/>
      <c r="U299" s="609"/>
      <c r="V299" s="609"/>
      <c r="W299" s="609"/>
      <c r="X299" s="609"/>
      <c r="Y299" s="609"/>
      <c r="Z299" s="609"/>
      <c r="AA299" s="610"/>
    </row>
    <row r="300" spans="2:28" x14ac:dyDescent="0.25">
      <c r="B300" s="611"/>
      <c r="C300" s="609" t="s">
        <v>208</v>
      </c>
      <c r="D300" s="613" t="s">
        <v>20</v>
      </c>
      <c r="E300" s="609"/>
      <c r="F300" s="609"/>
      <c r="G300" s="620">
        <f>IF('III. Inputs, Renewable Energy'!$V$118="N", 0, 'III. Inputs, Renewable Energy'!$V$185)</f>
        <v>0</v>
      </c>
      <c r="H300" s="609"/>
      <c r="I300" s="609"/>
      <c r="J300" s="609"/>
      <c r="K300" s="609"/>
      <c r="L300" s="609"/>
      <c r="M300" s="609"/>
      <c r="N300" s="609"/>
      <c r="O300" s="609"/>
      <c r="P300" s="609"/>
      <c r="Q300" s="609"/>
      <c r="R300" s="609"/>
      <c r="S300" s="609"/>
      <c r="T300" s="609"/>
      <c r="U300" s="609"/>
      <c r="V300" s="609"/>
      <c r="W300" s="609"/>
      <c r="X300" s="609"/>
      <c r="Y300" s="609"/>
      <c r="Z300" s="609"/>
      <c r="AA300" s="610"/>
    </row>
    <row r="301" spans="2:28" x14ac:dyDescent="0.25">
      <c r="B301" s="611"/>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10"/>
    </row>
    <row r="302" spans="2:28" x14ac:dyDescent="0.25">
      <c r="B302" s="611"/>
      <c r="C302" s="616" t="s">
        <v>67</v>
      </c>
      <c r="D302" s="609"/>
      <c r="E302" s="609"/>
      <c r="F302" s="609"/>
      <c r="G302" s="1198"/>
      <c r="H302" s="1198"/>
      <c r="I302" s="1198"/>
      <c r="J302" s="1198"/>
      <c r="K302" s="1198"/>
      <c r="L302" s="1198"/>
      <c r="M302" s="1198"/>
      <c r="N302" s="1198"/>
      <c r="O302" s="1198"/>
      <c r="P302" s="1198"/>
      <c r="Q302" s="1198"/>
      <c r="R302" s="1198"/>
      <c r="S302" s="1198"/>
      <c r="T302" s="1198"/>
      <c r="U302" s="1198"/>
      <c r="V302" s="1198"/>
      <c r="W302" s="1198"/>
      <c r="X302" s="1198"/>
      <c r="Y302" s="1198"/>
      <c r="Z302" s="1198"/>
      <c r="AA302" s="1199"/>
      <c r="AB302" s="1192"/>
    </row>
    <row r="303" spans="2:28" x14ac:dyDescent="0.25">
      <c r="B303" s="611"/>
      <c r="C303" s="609" t="s">
        <v>73</v>
      </c>
      <c r="D303" s="609"/>
      <c r="E303" s="609"/>
      <c r="F303" s="609"/>
      <c r="G303" s="1384"/>
      <c r="H303" s="1384">
        <f>IF($G$296=0,0,IF(H$196&gt;$G$297,0,IPMT($G$298,H$196,$G$297,-$G$296)))</f>
        <v>0</v>
      </c>
      <c r="I303" s="1384">
        <f t="shared" ref="I303:AA303" si="80">IF($G$296=0,0,IF(I$196&gt;$G$297,0,IPMT($G$298,I$196,$G$297,-$G$296)))</f>
        <v>0</v>
      </c>
      <c r="J303" s="1384">
        <f t="shared" si="80"/>
        <v>0</v>
      </c>
      <c r="K303" s="1384">
        <f t="shared" si="80"/>
        <v>0</v>
      </c>
      <c r="L303" s="1384">
        <f t="shared" si="80"/>
        <v>0</v>
      </c>
      <c r="M303" s="1384">
        <f t="shared" si="80"/>
        <v>0</v>
      </c>
      <c r="N303" s="1384">
        <f t="shared" si="80"/>
        <v>0</v>
      </c>
      <c r="O303" s="1384">
        <f t="shared" si="80"/>
        <v>0</v>
      </c>
      <c r="P303" s="1384">
        <f t="shared" si="80"/>
        <v>0</v>
      </c>
      <c r="Q303" s="1384">
        <f t="shared" si="80"/>
        <v>0</v>
      </c>
      <c r="R303" s="1384">
        <f t="shared" si="80"/>
        <v>0</v>
      </c>
      <c r="S303" s="1384">
        <f t="shared" si="80"/>
        <v>0</v>
      </c>
      <c r="T303" s="1384">
        <f t="shared" si="80"/>
        <v>0</v>
      </c>
      <c r="U303" s="1384">
        <f t="shared" si="80"/>
        <v>0</v>
      </c>
      <c r="V303" s="1384">
        <f t="shared" si="80"/>
        <v>0</v>
      </c>
      <c r="W303" s="1384">
        <f t="shared" si="80"/>
        <v>0</v>
      </c>
      <c r="X303" s="1384">
        <f t="shared" si="80"/>
        <v>0</v>
      </c>
      <c r="Y303" s="1384">
        <f t="shared" si="80"/>
        <v>0</v>
      </c>
      <c r="Z303" s="1384">
        <f t="shared" si="80"/>
        <v>0</v>
      </c>
      <c r="AA303" s="1385">
        <f t="shared" si="80"/>
        <v>0</v>
      </c>
      <c r="AB303" s="1192"/>
    </row>
    <row r="304" spans="2:28" x14ac:dyDescent="0.25">
      <c r="B304" s="611"/>
      <c r="C304" s="617" t="s">
        <v>72</v>
      </c>
      <c r="D304" s="617"/>
      <c r="E304" s="617"/>
      <c r="F304" s="617"/>
      <c r="G304" s="1386"/>
      <c r="H304" s="1386">
        <f>IF($G$296=0,0,IF(H$196&gt;$G$297,0,PPMT($G$298,H$196,$G$297,-$G$296)))</f>
        <v>0</v>
      </c>
      <c r="I304" s="1386">
        <f t="shared" ref="I304:AA304" si="81">IF($G$296=0,0,IF(I$196&gt;$G$297,0,PPMT($G$298,I$196,$G$297,-$G$296)))</f>
        <v>0</v>
      </c>
      <c r="J304" s="1386">
        <f t="shared" si="81"/>
        <v>0</v>
      </c>
      <c r="K304" s="1386">
        <f t="shared" si="81"/>
        <v>0</v>
      </c>
      <c r="L304" s="1386">
        <f t="shared" si="81"/>
        <v>0</v>
      </c>
      <c r="M304" s="1386">
        <f t="shared" si="81"/>
        <v>0</v>
      </c>
      <c r="N304" s="1386">
        <f t="shared" si="81"/>
        <v>0</v>
      </c>
      <c r="O304" s="1386">
        <f t="shared" si="81"/>
        <v>0</v>
      </c>
      <c r="P304" s="1386">
        <f t="shared" si="81"/>
        <v>0</v>
      </c>
      <c r="Q304" s="1386">
        <f t="shared" si="81"/>
        <v>0</v>
      </c>
      <c r="R304" s="1386">
        <f t="shared" si="81"/>
        <v>0</v>
      </c>
      <c r="S304" s="1386">
        <f t="shared" si="81"/>
        <v>0</v>
      </c>
      <c r="T304" s="1386">
        <f t="shared" si="81"/>
        <v>0</v>
      </c>
      <c r="U304" s="1386">
        <f t="shared" si="81"/>
        <v>0</v>
      </c>
      <c r="V304" s="1386">
        <f t="shared" si="81"/>
        <v>0</v>
      </c>
      <c r="W304" s="1386">
        <f t="shared" si="81"/>
        <v>0</v>
      </c>
      <c r="X304" s="1386">
        <f t="shared" si="81"/>
        <v>0</v>
      </c>
      <c r="Y304" s="1386">
        <f t="shared" si="81"/>
        <v>0</v>
      </c>
      <c r="Z304" s="1386">
        <f t="shared" si="81"/>
        <v>0</v>
      </c>
      <c r="AA304" s="1387">
        <f t="shared" si="81"/>
        <v>0</v>
      </c>
      <c r="AB304" s="1192"/>
    </row>
    <row r="305" spans="2:28" x14ac:dyDescent="0.25">
      <c r="B305" s="611"/>
      <c r="C305" s="609" t="s">
        <v>74</v>
      </c>
      <c r="D305" s="609"/>
      <c r="E305" s="609"/>
      <c r="F305" s="609"/>
      <c r="G305" s="1384"/>
      <c r="H305" s="1384">
        <f>SUM(H303:H304)</f>
        <v>0</v>
      </c>
      <c r="I305" s="1384">
        <f t="shared" ref="I305:AA305" si="82">SUM(I303:I304)</f>
        <v>0</v>
      </c>
      <c r="J305" s="1384">
        <f t="shared" si="82"/>
        <v>0</v>
      </c>
      <c r="K305" s="1384">
        <f t="shared" si="82"/>
        <v>0</v>
      </c>
      <c r="L305" s="1384">
        <f t="shared" si="82"/>
        <v>0</v>
      </c>
      <c r="M305" s="1384">
        <f t="shared" si="82"/>
        <v>0</v>
      </c>
      <c r="N305" s="1384">
        <f t="shared" si="82"/>
        <v>0</v>
      </c>
      <c r="O305" s="1384">
        <f t="shared" si="82"/>
        <v>0</v>
      </c>
      <c r="P305" s="1384">
        <f t="shared" si="82"/>
        <v>0</v>
      </c>
      <c r="Q305" s="1384">
        <f t="shared" si="82"/>
        <v>0</v>
      </c>
      <c r="R305" s="1384">
        <f t="shared" si="82"/>
        <v>0</v>
      </c>
      <c r="S305" s="1384">
        <f t="shared" si="82"/>
        <v>0</v>
      </c>
      <c r="T305" s="1384">
        <f t="shared" si="82"/>
        <v>0</v>
      </c>
      <c r="U305" s="1384">
        <f t="shared" si="82"/>
        <v>0</v>
      </c>
      <c r="V305" s="1384">
        <f t="shared" si="82"/>
        <v>0</v>
      </c>
      <c r="W305" s="1384">
        <f t="shared" si="82"/>
        <v>0</v>
      </c>
      <c r="X305" s="1384">
        <f t="shared" si="82"/>
        <v>0</v>
      </c>
      <c r="Y305" s="1384">
        <f t="shared" si="82"/>
        <v>0</v>
      </c>
      <c r="Z305" s="1384">
        <f t="shared" si="82"/>
        <v>0</v>
      </c>
      <c r="AA305" s="1385">
        <f t="shared" si="82"/>
        <v>0</v>
      </c>
      <c r="AB305" s="1192"/>
    </row>
    <row r="306" spans="2:28" x14ac:dyDescent="0.25">
      <c r="B306" s="611"/>
      <c r="C306" s="609"/>
      <c r="D306" s="609"/>
      <c r="E306" s="609"/>
      <c r="F306" s="609"/>
      <c r="G306" s="1384"/>
      <c r="H306" s="1384"/>
      <c r="I306" s="1384"/>
      <c r="J306" s="1384"/>
      <c r="K306" s="1384"/>
      <c r="L306" s="1384"/>
      <c r="M306" s="1384"/>
      <c r="N306" s="1384"/>
      <c r="O306" s="1384"/>
      <c r="P306" s="1384"/>
      <c r="Q306" s="1384"/>
      <c r="R306" s="1384"/>
      <c r="S306" s="1384"/>
      <c r="T306" s="1384"/>
      <c r="U306" s="1384"/>
      <c r="V306" s="1384"/>
      <c r="W306" s="1384"/>
      <c r="X306" s="1384"/>
      <c r="Y306" s="1384"/>
      <c r="Z306" s="1384"/>
      <c r="AA306" s="1385"/>
      <c r="AB306" s="1192"/>
    </row>
    <row r="307" spans="2:28" x14ac:dyDescent="0.25">
      <c r="B307" s="611"/>
      <c r="C307" s="618" t="s">
        <v>65</v>
      </c>
      <c r="D307" s="609"/>
      <c r="E307" s="609"/>
      <c r="F307" s="609"/>
      <c r="G307" s="1384"/>
      <c r="H307" s="1384"/>
      <c r="I307" s="1384"/>
      <c r="J307" s="1384"/>
      <c r="K307" s="1384"/>
      <c r="L307" s="1384"/>
      <c r="M307" s="1384"/>
      <c r="N307" s="1384"/>
      <c r="O307" s="1384"/>
      <c r="P307" s="1384"/>
      <c r="Q307" s="1384"/>
      <c r="R307" s="1384"/>
      <c r="S307" s="1384"/>
      <c r="T307" s="1384"/>
      <c r="U307" s="1384"/>
      <c r="V307" s="1384"/>
      <c r="W307" s="1384"/>
      <c r="X307" s="1384"/>
      <c r="Y307" s="1384"/>
      <c r="Z307" s="1384"/>
      <c r="AA307" s="1385"/>
      <c r="AB307" s="1192"/>
    </row>
    <row r="308" spans="2:28" x14ac:dyDescent="0.25">
      <c r="B308" s="611"/>
      <c r="C308" s="609" t="s">
        <v>75</v>
      </c>
      <c r="D308" s="609"/>
      <c r="E308" s="609"/>
      <c r="F308" s="609"/>
      <c r="G308" s="1384">
        <v>0</v>
      </c>
      <c r="H308" s="1384">
        <f>G311</f>
        <v>0</v>
      </c>
      <c r="I308" s="1384">
        <f t="shared" ref="I308:AA308" si="83">H311</f>
        <v>0</v>
      </c>
      <c r="J308" s="1384">
        <f t="shared" si="83"/>
        <v>0</v>
      </c>
      <c r="K308" s="1384">
        <f t="shared" si="83"/>
        <v>0</v>
      </c>
      <c r="L308" s="1384">
        <f t="shared" si="83"/>
        <v>0</v>
      </c>
      <c r="M308" s="1384">
        <f t="shared" si="83"/>
        <v>0</v>
      </c>
      <c r="N308" s="1384">
        <f t="shared" si="83"/>
        <v>0</v>
      </c>
      <c r="O308" s="1384">
        <f t="shared" si="83"/>
        <v>0</v>
      </c>
      <c r="P308" s="1384">
        <f t="shared" si="83"/>
        <v>0</v>
      </c>
      <c r="Q308" s="1384">
        <f t="shared" si="83"/>
        <v>0</v>
      </c>
      <c r="R308" s="1384">
        <f t="shared" si="83"/>
        <v>0</v>
      </c>
      <c r="S308" s="1384">
        <f t="shared" si="83"/>
        <v>0</v>
      </c>
      <c r="T308" s="1384">
        <f t="shared" si="83"/>
        <v>0</v>
      </c>
      <c r="U308" s="1384">
        <f t="shared" si="83"/>
        <v>0</v>
      </c>
      <c r="V308" s="1384">
        <f t="shared" si="83"/>
        <v>0</v>
      </c>
      <c r="W308" s="1384">
        <f t="shared" si="83"/>
        <v>0</v>
      </c>
      <c r="X308" s="1384">
        <f t="shared" si="83"/>
        <v>0</v>
      </c>
      <c r="Y308" s="1384">
        <f t="shared" si="83"/>
        <v>0</v>
      </c>
      <c r="Z308" s="1384">
        <f t="shared" si="83"/>
        <v>0</v>
      </c>
      <c r="AA308" s="1385">
        <f t="shared" si="83"/>
        <v>0</v>
      </c>
      <c r="AB308" s="1192"/>
    </row>
    <row r="309" spans="2:28" x14ac:dyDescent="0.25">
      <c r="B309" s="611"/>
      <c r="C309" s="609" t="s">
        <v>76</v>
      </c>
      <c r="D309" s="609"/>
      <c r="E309" s="609"/>
      <c r="F309" s="609"/>
      <c r="G309" s="1384">
        <f>G296</f>
        <v>0</v>
      </c>
      <c r="H309" s="1384">
        <v>0</v>
      </c>
      <c r="I309" s="1384">
        <v>0</v>
      </c>
      <c r="J309" s="1384">
        <v>0</v>
      </c>
      <c r="K309" s="1384">
        <v>0</v>
      </c>
      <c r="L309" s="1384">
        <v>0</v>
      </c>
      <c r="M309" s="1384">
        <v>0</v>
      </c>
      <c r="N309" s="1384">
        <v>0</v>
      </c>
      <c r="O309" s="1384">
        <v>0</v>
      </c>
      <c r="P309" s="1384">
        <v>0</v>
      </c>
      <c r="Q309" s="1384">
        <v>0</v>
      </c>
      <c r="R309" s="1384">
        <v>0</v>
      </c>
      <c r="S309" s="1384">
        <v>0</v>
      </c>
      <c r="T309" s="1384">
        <v>0</v>
      </c>
      <c r="U309" s="1384">
        <v>0</v>
      </c>
      <c r="V309" s="1384">
        <v>0</v>
      </c>
      <c r="W309" s="1384">
        <v>0</v>
      </c>
      <c r="X309" s="1384">
        <v>0</v>
      </c>
      <c r="Y309" s="1384">
        <v>0</v>
      </c>
      <c r="Z309" s="1384">
        <v>0</v>
      </c>
      <c r="AA309" s="1385">
        <v>0</v>
      </c>
      <c r="AB309" s="1192"/>
    </row>
    <row r="310" spans="2:28" x14ac:dyDescent="0.25">
      <c r="B310" s="611"/>
      <c r="C310" s="617" t="s">
        <v>77</v>
      </c>
      <c r="D310" s="617"/>
      <c r="E310" s="617"/>
      <c r="F310" s="617"/>
      <c r="G310" s="1386">
        <v>0</v>
      </c>
      <c r="H310" s="1386">
        <f>-H304</f>
        <v>0</v>
      </c>
      <c r="I310" s="1386">
        <f t="shared" ref="I310:AA310" si="84">-I304</f>
        <v>0</v>
      </c>
      <c r="J310" s="1386">
        <f t="shared" si="84"/>
        <v>0</v>
      </c>
      <c r="K310" s="1386">
        <f t="shared" si="84"/>
        <v>0</v>
      </c>
      <c r="L310" s="1386">
        <f t="shared" si="84"/>
        <v>0</v>
      </c>
      <c r="M310" s="1386">
        <f t="shared" si="84"/>
        <v>0</v>
      </c>
      <c r="N310" s="1386">
        <f t="shared" si="84"/>
        <v>0</v>
      </c>
      <c r="O310" s="1386">
        <f t="shared" si="84"/>
        <v>0</v>
      </c>
      <c r="P310" s="1386">
        <f t="shared" si="84"/>
        <v>0</v>
      </c>
      <c r="Q310" s="1386">
        <f t="shared" si="84"/>
        <v>0</v>
      </c>
      <c r="R310" s="1386">
        <f t="shared" si="84"/>
        <v>0</v>
      </c>
      <c r="S310" s="1386">
        <f t="shared" si="84"/>
        <v>0</v>
      </c>
      <c r="T310" s="1386">
        <f t="shared" si="84"/>
        <v>0</v>
      </c>
      <c r="U310" s="1386">
        <f t="shared" si="84"/>
        <v>0</v>
      </c>
      <c r="V310" s="1386">
        <f t="shared" si="84"/>
        <v>0</v>
      </c>
      <c r="W310" s="1386">
        <f t="shared" si="84"/>
        <v>0</v>
      </c>
      <c r="X310" s="1386">
        <f t="shared" si="84"/>
        <v>0</v>
      </c>
      <c r="Y310" s="1386">
        <f t="shared" si="84"/>
        <v>0</v>
      </c>
      <c r="Z310" s="1386">
        <f t="shared" si="84"/>
        <v>0</v>
      </c>
      <c r="AA310" s="1387">
        <f t="shared" si="84"/>
        <v>0</v>
      </c>
      <c r="AB310" s="1192"/>
    </row>
    <row r="311" spans="2:28" x14ac:dyDescent="0.25">
      <c r="B311" s="611"/>
      <c r="C311" s="609" t="s">
        <v>66</v>
      </c>
      <c r="D311" s="609"/>
      <c r="E311" s="609"/>
      <c r="F311" s="609"/>
      <c r="G311" s="1384">
        <f>SUM(G308:G310)</f>
        <v>0</v>
      </c>
      <c r="H311" s="1384">
        <f>SUM(H308:H310)</f>
        <v>0</v>
      </c>
      <c r="I311" s="1384">
        <f t="shared" ref="I311:AA311" si="85">SUM(I308:I310)</f>
        <v>0</v>
      </c>
      <c r="J311" s="1384">
        <f t="shared" si="85"/>
        <v>0</v>
      </c>
      <c r="K311" s="1384">
        <f t="shared" si="85"/>
        <v>0</v>
      </c>
      <c r="L311" s="1384">
        <f t="shared" si="85"/>
        <v>0</v>
      </c>
      <c r="M311" s="1384">
        <f t="shared" si="85"/>
        <v>0</v>
      </c>
      <c r="N311" s="1384">
        <f t="shared" si="85"/>
        <v>0</v>
      </c>
      <c r="O311" s="1384">
        <f t="shared" si="85"/>
        <v>0</v>
      </c>
      <c r="P311" s="1384">
        <f t="shared" si="85"/>
        <v>0</v>
      </c>
      <c r="Q311" s="1384">
        <f t="shared" si="85"/>
        <v>0</v>
      </c>
      <c r="R311" s="1384">
        <f t="shared" si="85"/>
        <v>0</v>
      </c>
      <c r="S311" s="1384">
        <f t="shared" si="85"/>
        <v>0</v>
      </c>
      <c r="T311" s="1384">
        <f t="shared" si="85"/>
        <v>0</v>
      </c>
      <c r="U311" s="1384">
        <f t="shared" si="85"/>
        <v>0</v>
      </c>
      <c r="V311" s="1384">
        <f t="shared" si="85"/>
        <v>0</v>
      </c>
      <c r="W311" s="1384">
        <f t="shared" si="85"/>
        <v>0</v>
      </c>
      <c r="X311" s="1384">
        <f t="shared" si="85"/>
        <v>0</v>
      </c>
      <c r="Y311" s="1384">
        <f t="shared" si="85"/>
        <v>0</v>
      </c>
      <c r="Z311" s="1384">
        <f t="shared" si="85"/>
        <v>0</v>
      </c>
      <c r="AA311" s="1385">
        <f t="shared" si="85"/>
        <v>0</v>
      </c>
      <c r="AB311" s="1192"/>
    </row>
    <row r="312" spans="2:28" x14ac:dyDescent="0.25">
      <c r="B312" s="611"/>
      <c r="C312" s="609"/>
      <c r="D312" s="609"/>
      <c r="E312" s="609"/>
      <c r="F312" s="609"/>
      <c r="G312" s="1384"/>
      <c r="H312" s="1384"/>
      <c r="I312" s="1384"/>
      <c r="J312" s="1384"/>
      <c r="K312" s="1384"/>
      <c r="L312" s="1384"/>
      <c r="M312" s="1384"/>
      <c r="N312" s="1384"/>
      <c r="O312" s="1384"/>
      <c r="P312" s="1384"/>
      <c r="Q312" s="1384"/>
      <c r="R312" s="1384"/>
      <c r="S312" s="1384"/>
      <c r="T312" s="1384"/>
      <c r="U312" s="1384"/>
      <c r="V312" s="1384"/>
      <c r="W312" s="1384"/>
      <c r="X312" s="1384"/>
      <c r="Y312" s="1384"/>
      <c r="Z312" s="1384"/>
      <c r="AA312" s="1385"/>
      <c r="AB312" s="1192"/>
    </row>
    <row r="313" spans="2:28" x14ac:dyDescent="0.25">
      <c r="B313" s="611"/>
      <c r="C313" s="618" t="s">
        <v>71</v>
      </c>
      <c r="D313" s="609"/>
      <c r="E313" s="609"/>
      <c r="F313" s="609"/>
      <c r="G313" s="1384"/>
      <c r="H313" s="1384"/>
      <c r="I313" s="1384"/>
      <c r="J313" s="1384"/>
      <c r="K313" s="1384"/>
      <c r="L313" s="1384"/>
      <c r="M313" s="1384"/>
      <c r="N313" s="1384"/>
      <c r="O313" s="1384"/>
      <c r="P313" s="1384"/>
      <c r="Q313" s="1384"/>
      <c r="R313" s="1384"/>
      <c r="S313" s="1384"/>
      <c r="T313" s="1384"/>
      <c r="U313" s="1384"/>
      <c r="V313" s="1384"/>
      <c r="W313" s="1384"/>
      <c r="X313" s="1384"/>
      <c r="Y313" s="1384"/>
      <c r="Z313" s="1384"/>
      <c r="AA313" s="1385"/>
      <c r="AB313" s="1192"/>
    </row>
    <row r="314" spans="2:28" x14ac:dyDescent="0.25">
      <c r="B314" s="611"/>
      <c r="C314" s="609" t="str">
        <f>'III. Inputs, Renewable Energy'!$N$183</f>
        <v xml:space="preserve">Front-end Fee, Commercial Loans </v>
      </c>
      <c r="D314" s="609"/>
      <c r="E314" s="609"/>
      <c r="F314" s="609"/>
      <c r="G314" s="1384"/>
      <c r="H314" s="1384">
        <f>IF($G$296&gt;0, $G$296*'III. Inputs, Renewable Energy'!$V$183/10000,0)</f>
        <v>0</v>
      </c>
      <c r="I314" s="1388">
        <v>0</v>
      </c>
      <c r="J314" s="1388">
        <v>0</v>
      </c>
      <c r="K314" s="1388">
        <v>0</v>
      </c>
      <c r="L314" s="1388">
        <v>0</v>
      </c>
      <c r="M314" s="1388">
        <v>0</v>
      </c>
      <c r="N314" s="1388">
        <v>0</v>
      </c>
      <c r="O314" s="1388">
        <v>0</v>
      </c>
      <c r="P314" s="1388">
        <v>0</v>
      </c>
      <c r="Q314" s="1388">
        <v>0</v>
      </c>
      <c r="R314" s="1388">
        <v>0</v>
      </c>
      <c r="S314" s="1388">
        <v>0</v>
      </c>
      <c r="T314" s="1388">
        <v>0</v>
      </c>
      <c r="U314" s="1388">
        <v>0</v>
      </c>
      <c r="V314" s="1388">
        <v>0</v>
      </c>
      <c r="W314" s="1388">
        <v>0</v>
      </c>
      <c r="X314" s="1388">
        <v>0</v>
      </c>
      <c r="Y314" s="1388">
        <v>0</v>
      </c>
      <c r="Z314" s="1388">
        <v>0</v>
      </c>
      <c r="AA314" s="1389">
        <v>0</v>
      </c>
      <c r="AB314" s="1192"/>
    </row>
    <row r="315" spans="2:28" x14ac:dyDescent="0.25">
      <c r="B315" s="611"/>
      <c r="C315" s="609" t="str">
        <f>'III. Inputs, Renewable Energy'!$O$186</f>
        <v>Front-end Fee, Public Guarantee</v>
      </c>
      <c r="D315" s="609"/>
      <c r="E315" s="609"/>
      <c r="F315" s="609"/>
      <c r="G315" s="1384"/>
      <c r="H315" s="1384">
        <f>IF($G$296&gt;0, $G$296*$G$299*'III. Inputs, Renewable Energy'!$V$186/10000,0)</f>
        <v>0</v>
      </c>
      <c r="I315" s="1388">
        <v>0</v>
      </c>
      <c r="J315" s="1388">
        <v>0</v>
      </c>
      <c r="K315" s="1388">
        <v>0</v>
      </c>
      <c r="L315" s="1388">
        <v>0</v>
      </c>
      <c r="M315" s="1388">
        <v>0</v>
      </c>
      <c r="N315" s="1388">
        <v>0</v>
      </c>
      <c r="O315" s="1388">
        <v>0</v>
      </c>
      <c r="P315" s="1388">
        <v>0</v>
      </c>
      <c r="Q315" s="1388">
        <v>0</v>
      </c>
      <c r="R315" s="1388">
        <v>0</v>
      </c>
      <c r="S315" s="1388">
        <v>0</v>
      </c>
      <c r="T315" s="1388">
        <v>0</v>
      </c>
      <c r="U315" s="1388">
        <v>0</v>
      </c>
      <c r="V315" s="1388">
        <v>0</v>
      </c>
      <c r="W315" s="1388">
        <v>0</v>
      </c>
      <c r="X315" s="1388">
        <v>0</v>
      </c>
      <c r="Y315" s="1388">
        <v>0</v>
      </c>
      <c r="Z315" s="1388">
        <v>0</v>
      </c>
      <c r="AA315" s="1389">
        <v>0</v>
      </c>
      <c r="AB315" s="1192"/>
    </row>
    <row r="316" spans="2:28" x14ac:dyDescent="0.25">
      <c r="B316" s="611"/>
      <c r="C316" s="609" t="str">
        <f>'III. Inputs, Renewable Energy'!$O$187</f>
        <v>Annual Guarantee Fee</v>
      </c>
      <c r="D316" s="609"/>
      <c r="E316" s="609"/>
      <c r="F316" s="609"/>
      <c r="G316" s="1384"/>
      <c r="H316" s="1384">
        <f>IF(H$196&gt;$G$300,0,((H308+H311)/2)*$G$299*'III. Inputs, Renewable Energy'!$V$187/10000)</f>
        <v>0</v>
      </c>
      <c r="I316" s="1384">
        <f>IF(I$196&gt;$G$300,0,((I308+I311)/2)*$G$299*'III. Inputs, Renewable Energy'!$V$187/10000)</f>
        <v>0</v>
      </c>
      <c r="J316" s="1384">
        <f>IF(J$196&gt;$G$300,0,((J308+J311)/2)*$G$299*'III. Inputs, Renewable Energy'!$V$187/10000)</f>
        <v>0</v>
      </c>
      <c r="K316" s="1384">
        <f>IF(K$196&gt;$G$300,0,((K308+K311)/2)*$G$299*'III. Inputs, Renewable Energy'!$V$187/10000)</f>
        <v>0</v>
      </c>
      <c r="L316" s="1384">
        <f>IF(L$196&gt;$G$300,0,((L308+L311)/2)*$G$299*'III. Inputs, Renewable Energy'!$V$187/10000)</f>
        <v>0</v>
      </c>
      <c r="M316" s="1384">
        <f>IF(M$196&gt;$G$300,0,((M308+M311)/2)*$G$299*'III. Inputs, Renewable Energy'!$V$187/10000)</f>
        <v>0</v>
      </c>
      <c r="N316" s="1384">
        <f>IF(N$196&gt;$G$300,0,((N308+N311)/2)*$G$299*'III. Inputs, Renewable Energy'!$V$187/10000)</f>
        <v>0</v>
      </c>
      <c r="O316" s="1384">
        <f>IF(O$196&gt;$G$300,0,((O308+O311)/2)*$G$299*'III. Inputs, Renewable Energy'!$V$187/10000)</f>
        <v>0</v>
      </c>
      <c r="P316" s="1384">
        <f>IF(P$196&gt;$G$300,0,((P308+P311)/2)*$G$299*'III. Inputs, Renewable Energy'!$V$187/10000)</f>
        <v>0</v>
      </c>
      <c r="Q316" s="1384">
        <f>IF(Q$196&gt;$G$300,0,((Q308+Q311)/2)*$G$299*'III. Inputs, Renewable Energy'!$V$187/10000)</f>
        <v>0</v>
      </c>
      <c r="R316" s="1384">
        <f>IF(R$196&gt;$G$300,0,((R308+R311)/2)*$G$299*'III. Inputs, Renewable Energy'!$V$187/10000)</f>
        <v>0</v>
      </c>
      <c r="S316" s="1384">
        <f>IF(S$196&gt;$G$300,0,((S308+S311)/2)*$G$299*'III. Inputs, Renewable Energy'!$V$187/10000)</f>
        <v>0</v>
      </c>
      <c r="T316" s="1384">
        <f>IF(T$196&gt;$G$300,0,((T308+T311)/2)*$G$299*'III. Inputs, Renewable Energy'!$V$187/10000)</f>
        <v>0</v>
      </c>
      <c r="U316" s="1384">
        <f>IF(U$196&gt;$G$300,0,((U308+U311)/2)*$G$299*'III. Inputs, Renewable Energy'!$V$187/10000)</f>
        <v>0</v>
      </c>
      <c r="V316" s="1384">
        <f>IF(V$196&gt;$G$300,0,((V308+V311)/2)*$G$299*'III. Inputs, Renewable Energy'!$V$187/10000)</f>
        <v>0</v>
      </c>
      <c r="W316" s="1384">
        <f>IF(W$196&gt;$G$300,0,((W308+W311)/2)*$G$299*'III. Inputs, Renewable Energy'!$V$187/10000)</f>
        <v>0</v>
      </c>
      <c r="X316" s="1384">
        <f>IF(X$196&gt;$G$300,0,((X308+X311)/2)*$G$299*'III. Inputs, Renewable Energy'!$V$187/10000)</f>
        <v>0</v>
      </c>
      <c r="Y316" s="1384">
        <f>IF(Y$196&gt;$G$300,0,((Y308+Y311)/2)*$G$299*'III. Inputs, Renewable Energy'!$V$187/10000)</f>
        <v>0</v>
      </c>
      <c r="Z316" s="1384">
        <f>IF(Z$196&gt;$G$300,0,((Z308+Z311)/2)*$G$299*'III. Inputs, Renewable Energy'!$V$187/10000)</f>
        <v>0</v>
      </c>
      <c r="AA316" s="1385">
        <f>IF(AA$196&gt;$G$300,0,((AA308+AA311)/2)*$G$299*'III. Inputs, Renewable Energy'!$V$187/10000)</f>
        <v>0</v>
      </c>
      <c r="AB316" s="1192"/>
    </row>
    <row r="317" spans="2:28" x14ac:dyDescent="0.25">
      <c r="B317" s="611"/>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10"/>
    </row>
    <row r="318" spans="2:28" x14ac:dyDescent="0.25">
      <c r="B318" s="608" t="s">
        <v>180</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10"/>
    </row>
    <row r="319" spans="2:28" x14ac:dyDescent="0.25">
      <c r="B319" s="611"/>
      <c r="C319" s="612" t="s">
        <v>68</v>
      </c>
      <c r="D319" s="609"/>
      <c r="E319" s="609"/>
      <c r="F319" s="609"/>
      <c r="G319" s="1384">
        <f>IF('III. Inputs, Renewable Energy'!$V$33&gt;0,((('III. Inputs, Renewable Energy'!U242+('III. Inputs, Renewable Energy'!U238*'III. Inputs, Renewable Energy'!U240*'III. Inputs, Renewable Energy'!U241))*('III. Inputs, Renewable Energy'!U14/'III. Inputs, Renewable Energy'!U243))*'III. Inputs, Renewable Energy'!V29*SUM('III. Inputs, Renewable Energy'!$V$33)),0)</f>
        <v>0</v>
      </c>
      <c r="H319" s="609"/>
      <c r="I319" s="609"/>
      <c r="J319" s="609"/>
      <c r="K319" s="609"/>
      <c r="L319" s="609"/>
      <c r="M319" s="609"/>
      <c r="N319" s="609"/>
      <c r="O319" s="609"/>
      <c r="P319" s="609"/>
      <c r="Q319" s="609"/>
      <c r="R319" s="609"/>
      <c r="S319" s="609"/>
      <c r="T319" s="609"/>
      <c r="U319" s="609"/>
      <c r="V319" s="609"/>
      <c r="W319" s="609"/>
      <c r="X319" s="609"/>
      <c r="Y319" s="609"/>
      <c r="Z319" s="609"/>
      <c r="AA319" s="610"/>
    </row>
    <row r="320" spans="2:28" x14ac:dyDescent="0.25">
      <c r="B320" s="611"/>
      <c r="C320" s="612" t="s">
        <v>69</v>
      </c>
      <c r="D320" s="609"/>
      <c r="E320" s="609"/>
      <c r="F320" s="609"/>
      <c r="G320" s="620">
        <f>IF('III. Inputs, Renewable Energy'!$V$33&gt;0, 'III. Inputs, Renewable Energy'!$V$45,0)</f>
        <v>0</v>
      </c>
      <c r="H320" s="609"/>
      <c r="I320" s="609"/>
      <c r="J320" s="609"/>
      <c r="K320" s="609"/>
      <c r="L320" s="609"/>
      <c r="M320" s="609"/>
      <c r="N320" s="609"/>
      <c r="O320" s="609"/>
      <c r="P320" s="609"/>
      <c r="Q320" s="609"/>
      <c r="R320" s="609"/>
      <c r="S320" s="609"/>
      <c r="T320" s="609"/>
      <c r="U320" s="609"/>
      <c r="V320" s="609"/>
      <c r="W320" s="609"/>
      <c r="X320" s="609"/>
      <c r="Y320" s="609"/>
      <c r="Z320" s="609"/>
      <c r="AA320" s="610"/>
    </row>
    <row r="321" spans="2:27" x14ac:dyDescent="0.25">
      <c r="B321" s="611"/>
      <c r="C321" s="612" t="s">
        <v>70</v>
      </c>
      <c r="D321" s="609"/>
      <c r="E321" s="609"/>
      <c r="F321" s="609"/>
      <c r="G321" s="772">
        <f>SUM('III. Inputs, Renewable Energy'!V40)</f>
        <v>0</v>
      </c>
      <c r="H321" s="609"/>
      <c r="I321" s="609"/>
      <c r="J321" s="609"/>
      <c r="K321" s="609"/>
      <c r="L321" s="609"/>
      <c r="M321" s="609"/>
      <c r="N321" s="609"/>
      <c r="O321" s="609"/>
      <c r="P321" s="609"/>
      <c r="Q321" s="609"/>
      <c r="R321" s="609"/>
      <c r="S321" s="609"/>
      <c r="T321" s="609"/>
      <c r="U321" s="609"/>
      <c r="V321" s="609"/>
      <c r="W321" s="609"/>
      <c r="X321" s="609"/>
      <c r="Y321" s="609"/>
      <c r="Z321" s="609"/>
      <c r="AA321" s="610"/>
    </row>
    <row r="322" spans="2:27" x14ac:dyDescent="0.25">
      <c r="B322" s="611"/>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10"/>
    </row>
    <row r="323" spans="2:27" x14ac:dyDescent="0.25">
      <c r="B323" s="611"/>
      <c r="C323" s="616" t="s">
        <v>67</v>
      </c>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10"/>
    </row>
    <row r="324" spans="2:27" x14ac:dyDescent="0.25">
      <c r="B324" s="611"/>
      <c r="C324" s="609" t="s">
        <v>73</v>
      </c>
      <c r="D324" s="609"/>
      <c r="E324" s="609"/>
      <c r="F324" s="609"/>
      <c r="G324" s="1384"/>
      <c r="H324" s="1384">
        <f>IF($G$319=0,0,IF(H$196&gt;$G$320,0,IPMT($G$321,H$196,$G$320,-$G$319)))</f>
        <v>0</v>
      </c>
      <c r="I324" s="1384">
        <f t="shared" ref="I324:AA324" si="86">IF($G$319=0,0,IF(I$196&gt;$G$320,0,IPMT($G$321,I$196,$G$320,-$G$319)))</f>
        <v>0</v>
      </c>
      <c r="J324" s="1384">
        <f t="shared" si="86"/>
        <v>0</v>
      </c>
      <c r="K324" s="1384">
        <f t="shared" si="86"/>
        <v>0</v>
      </c>
      <c r="L324" s="1384">
        <f t="shared" si="86"/>
        <v>0</v>
      </c>
      <c r="M324" s="1384">
        <f t="shared" si="86"/>
        <v>0</v>
      </c>
      <c r="N324" s="1384">
        <f t="shared" si="86"/>
        <v>0</v>
      </c>
      <c r="O324" s="1384">
        <f t="shared" si="86"/>
        <v>0</v>
      </c>
      <c r="P324" s="1384">
        <f t="shared" si="86"/>
        <v>0</v>
      </c>
      <c r="Q324" s="1384">
        <f t="shared" si="86"/>
        <v>0</v>
      </c>
      <c r="R324" s="1384">
        <f t="shared" si="86"/>
        <v>0</v>
      </c>
      <c r="S324" s="1384">
        <f t="shared" si="86"/>
        <v>0</v>
      </c>
      <c r="T324" s="1384">
        <f t="shared" si="86"/>
        <v>0</v>
      </c>
      <c r="U324" s="1384">
        <f t="shared" si="86"/>
        <v>0</v>
      </c>
      <c r="V324" s="1384">
        <f t="shared" si="86"/>
        <v>0</v>
      </c>
      <c r="W324" s="1384">
        <f t="shared" si="86"/>
        <v>0</v>
      </c>
      <c r="X324" s="1384">
        <f t="shared" si="86"/>
        <v>0</v>
      </c>
      <c r="Y324" s="1384">
        <f t="shared" si="86"/>
        <v>0</v>
      </c>
      <c r="Z324" s="1384">
        <f t="shared" si="86"/>
        <v>0</v>
      </c>
      <c r="AA324" s="1385">
        <f t="shared" si="86"/>
        <v>0</v>
      </c>
    </row>
    <row r="325" spans="2:27" x14ac:dyDescent="0.25">
      <c r="B325" s="611"/>
      <c r="C325" s="617" t="s">
        <v>72</v>
      </c>
      <c r="D325" s="617"/>
      <c r="E325" s="617"/>
      <c r="F325" s="617"/>
      <c r="G325" s="1386"/>
      <c r="H325" s="1386">
        <f>IF($G$319=0,0,IF(H$196&gt;$G$320,0,PPMT($G$321,H$196,$G$320,-$G$319)))</f>
        <v>0</v>
      </c>
      <c r="I325" s="1386">
        <f t="shared" ref="I325:AA325" si="87">IF($G$319=0,0,IF(I$196&gt;$G$320,0,PPMT($G$321,I$196,$G$320,-$G$319)))</f>
        <v>0</v>
      </c>
      <c r="J325" s="1386">
        <f t="shared" si="87"/>
        <v>0</v>
      </c>
      <c r="K325" s="1386">
        <f t="shared" si="87"/>
        <v>0</v>
      </c>
      <c r="L325" s="1386">
        <f t="shared" si="87"/>
        <v>0</v>
      </c>
      <c r="M325" s="1386">
        <f t="shared" si="87"/>
        <v>0</v>
      </c>
      <c r="N325" s="1386">
        <f t="shared" si="87"/>
        <v>0</v>
      </c>
      <c r="O325" s="1386">
        <f t="shared" si="87"/>
        <v>0</v>
      </c>
      <c r="P325" s="1386">
        <f t="shared" si="87"/>
        <v>0</v>
      </c>
      <c r="Q325" s="1386">
        <f t="shared" si="87"/>
        <v>0</v>
      </c>
      <c r="R325" s="1386">
        <f t="shared" si="87"/>
        <v>0</v>
      </c>
      <c r="S325" s="1386">
        <f t="shared" si="87"/>
        <v>0</v>
      </c>
      <c r="T325" s="1386">
        <f t="shared" si="87"/>
        <v>0</v>
      </c>
      <c r="U325" s="1386">
        <f t="shared" si="87"/>
        <v>0</v>
      </c>
      <c r="V325" s="1386">
        <f t="shared" si="87"/>
        <v>0</v>
      </c>
      <c r="W325" s="1386">
        <f t="shared" si="87"/>
        <v>0</v>
      </c>
      <c r="X325" s="1386">
        <f t="shared" si="87"/>
        <v>0</v>
      </c>
      <c r="Y325" s="1386">
        <f t="shared" si="87"/>
        <v>0</v>
      </c>
      <c r="Z325" s="1386">
        <f t="shared" si="87"/>
        <v>0</v>
      </c>
      <c r="AA325" s="1387">
        <f t="shared" si="87"/>
        <v>0</v>
      </c>
    </row>
    <row r="326" spans="2:27" x14ac:dyDescent="0.25">
      <c r="B326" s="611"/>
      <c r="C326" s="609" t="s">
        <v>74</v>
      </c>
      <c r="D326" s="609"/>
      <c r="E326" s="609"/>
      <c r="F326" s="609"/>
      <c r="G326" s="1384"/>
      <c r="H326" s="1384">
        <f>SUM(H324:H325)</f>
        <v>0</v>
      </c>
      <c r="I326" s="1384">
        <f t="shared" ref="I326:AA326" si="88">SUM(I324:I325)</f>
        <v>0</v>
      </c>
      <c r="J326" s="1384">
        <f t="shared" si="88"/>
        <v>0</v>
      </c>
      <c r="K326" s="1384">
        <f t="shared" si="88"/>
        <v>0</v>
      </c>
      <c r="L326" s="1384">
        <f t="shared" si="88"/>
        <v>0</v>
      </c>
      <c r="M326" s="1384">
        <f t="shared" si="88"/>
        <v>0</v>
      </c>
      <c r="N326" s="1384">
        <f t="shared" si="88"/>
        <v>0</v>
      </c>
      <c r="O326" s="1384">
        <f t="shared" si="88"/>
        <v>0</v>
      </c>
      <c r="P326" s="1384">
        <f t="shared" si="88"/>
        <v>0</v>
      </c>
      <c r="Q326" s="1384">
        <f t="shared" si="88"/>
        <v>0</v>
      </c>
      <c r="R326" s="1384">
        <f t="shared" si="88"/>
        <v>0</v>
      </c>
      <c r="S326" s="1384">
        <f t="shared" si="88"/>
        <v>0</v>
      </c>
      <c r="T326" s="1384">
        <f t="shared" si="88"/>
        <v>0</v>
      </c>
      <c r="U326" s="1384">
        <f t="shared" si="88"/>
        <v>0</v>
      </c>
      <c r="V326" s="1384">
        <f t="shared" si="88"/>
        <v>0</v>
      </c>
      <c r="W326" s="1384">
        <f t="shared" si="88"/>
        <v>0</v>
      </c>
      <c r="X326" s="1384">
        <f t="shared" si="88"/>
        <v>0</v>
      </c>
      <c r="Y326" s="1384">
        <f t="shared" si="88"/>
        <v>0</v>
      </c>
      <c r="Z326" s="1384">
        <f t="shared" si="88"/>
        <v>0</v>
      </c>
      <c r="AA326" s="1385">
        <f t="shared" si="88"/>
        <v>0</v>
      </c>
    </row>
    <row r="327" spans="2:27" x14ac:dyDescent="0.25">
      <c r="B327" s="611"/>
      <c r="C327" s="609"/>
      <c r="D327" s="609"/>
      <c r="E327" s="609"/>
      <c r="F327" s="609"/>
      <c r="G327" s="1384"/>
      <c r="H327" s="1384"/>
      <c r="I327" s="1384"/>
      <c r="J327" s="1384"/>
      <c r="K327" s="1384"/>
      <c r="L327" s="1384"/>
      <c r="M327" s="1384"/>
      <c r="N327" s="1384"/>
      <c r="O327" s="1384"/>
      <c r="P327" s="1384"/>
      <c r="Q327" s="1384"/>
      <c r="R327" s="1384"/>
      <c r="S327" s="1384"/>
      <c r="T327" s="1384"/>
      <c r="U327" s="1384"/>
      <c r="V327" s="1384"/>
      <c r="W327" s="1384"/>
      <c r="X327" s="1384"/>
      <c r="Y327" s="1384"/>
      <c r="Z327" s="1384"/>
      <c r="AA327" s="1385"/>
    </row>
    <row r="328" spans="2:27" x14ac:dyDescent="0.25">
      <c r="B328" s="611"/>
      <c r="C328" s="618" t="s">
        <v>65</v>
      </c>
      <c r="D328" s="609"/>
      <c r="E328" s="609"/>
      <c r="F328" s="609"/>
      <c r="G328" s="1384"/>
      <c r="H328" s="1384"/>
      <c r="I328" s="1384"/>
      <c r="J328" s="1384"/>
      <c r="K328" s="1384"/>
      <c r="L328" s="1384"/>
      <c r="M328" s="1384"/>
      <c r="N328" s="1384"/>
      <c r="O328" s="1384"/>
      <c r="P328" s="1384"/>
      <c r="Q328" s="1384"/>
      <c r="R328" s="1384"/>
      <c r="S328" s="1384"/>
      <c r="T328" s="1384"/>
      <c r="U328" s="1384"/>
      <c r="V328" s="1384"/>
      <c r="W328" s="1384"/>
      <c r="X328" s="1384"/>
      <c r="Y328" s="1384"/>
      <c r="Z328" s="1384"/>
      <c r="AA328" s="1385"/>
    </row>
    <row r="329" spans="2:27" x14ac:dyDescent="0.25">
      <c r="B329" s="611"/>
      <c r="C329" s="609" t="s">
        <v>75</v>
      </c>
      <c r="D329" s="609"/>
      <c r="E329" s="609"/>
      <c r="F329" s="609"/>
      <c r="G329" s="1384">
        <v>0</v>
      </c>
      <c r="H329" s="1384">
        <f>G332</f>
        <v>0</v>
      </c>
      <c r="I329" s="1384">
        <f t="shared" ref="I329:AA329" si="89">H332</f>
        <v>0</v>
      </c>
      <c r="J329" s="1384">
        <f t="shared" si="89"/>
        <v>0</v>
      </c>
      <c r="K329" s="1384">
        <f t="shared" si="89"/>
        <v>0</v>
      </c>
      <c r="L329" s="1384">
        <f t="shared" si="89"/>
        <v>0</v>
      </c>
      <c r="M329" s="1384">
        <f t="shared" si="89"/>
        <v>0</v>
      </c>
      <c r="N329" s="1384">
        <f t="shared" si="89"/>
        <v>0</v>
      </c>
      <c r="O329" s="1384">
        <f t="shared" si="89"/>
        <v>0</v>
      </c>
      <c r="P329" s="1384">
        <f t="shared" si="89"/>
        <v>0</v>
      </c>
      <c r="Q329" s="1384">
        <f t="shared" si="89"/>
        <v>0</v>
      </c>
      <c r="R329" s="1384">
        <f t="shared" si="89"/>
        <v>0</v>
      </c>
      <c r="S329" s="1384">
        <f t="shared" si="89"/>
        <v>0</v>
      </c>
      <c r="T329" s="1384">
        <f t="shared" si="89"/>
        <v>0</v>
      </c>
      <c r="U329" s="1384">
        <f t="shared" si="89"/>
        <v>0</v>
      </c>
      <c r="V329" s="1384">
        <f t="shared" si="89"/>
        <v>0</v>
      </c>
      <c r="W329" s="1384">
        <f t="shared" si="89"/>
        <v>0</v>
      </c>
      <c r="X329" s="1384">
        <f t="shared" si="89"/>
        <v>0</v>
      </c>
      <c r="Y329" s="1384">
        <f t="shared" si="89"/>
        <v>0</v>
      </c>
      <c r="Z329" s="1384">
        <f t="shared" si="89"/>
        <v>0</v>
      </c>
      <c r="AA329" s="1385">
        <f t="shared" si="89"/>
        <v>0</v>
      </c>
    </row>
    <row r="330" spans="2:27" x14ac:dyDescent="0.25">
      <c r="B330" s="611"/>
      <c r="C330" s="609" t="s">
        <v>76</v>
      </c>
      <c r="D330" s="609"/>
      <c r="E330" s="609"/>
      <c r="F330" s="609"/>
      <c r="G330" s="1384">
        <f>G319</f>
        <v>0</v>
      </c>
      <c r="H330" s="1384">
        <v>0</v>
      </c>
      <c r="I330" s="1384">
        <v>0</v>
      </c>
      <c r="J330" s="1384">
        <v>0</v>
      </c>
      <c r="K330" s="1384">
        <v>0</v>
      </c>
      <c r="L330" s="1384">
        <v>0</v>
      </c>
      <c r="M330" s="1384">
        <v>0</v>
      </c>
      <c r="N330" s="1384">
        <v>0</v>
      </c>
      <c r="O330" s="1384">
        <v>0</v>
      </c>
      <c r="P330" s="1384">
        <v>0</v>
      </c>
      <c r="Q330" s="1384">
        <v>0</v>
      </c>
      <c r="R330" s="1384">
        <v>0</v>
      </c>
      <c r="S330" s="1384">
        <v>0</v>
      </c>
      <c r="T330" s="1384">
        <v>0</v>
      </c>
      <c r="U330" s="1384">
        <v>0</v>
      </c>
      <c r="V330" s="1384">
        <v>0</v>
      </c>
      <c r="W330" s="1384">
        <v>0</v>
      </c>
      <c r="X330" s="1384">
        <v>0</v>
      </c>
      <c r="Y330" s="1384">
        <v>0</v>
      </c>
      <c r="Z330" s="1384">
        <v>0</v>
      </c>
      <c r="AA330" s="1385">
        <v>0</v>
      </c>
    </row>
    <row r="331" spans="2:27" x14ac:dyDescent="0.25">
      <c r="B331" s="611"/>
      <c r="C331" s="617" t="s">
        <v>77</v>
      </c>
      <c r="D331" s="617"/>
      <c r="E331" s="617"/>
      <c r="F331" s="617"/>
      <c r="G331" s="1386">
        <v>0</v>
      </c>
      <c r="H331" s="1386">
        <f>-H325</f>
        <v>0</v>
      </c>
      <c r="I331" s="1386">
        <f t="shared" ref="I331:AA331" si="90">-I325</f>
        <v>0</v>
      </c>
      <c r="J331" s="1386">
        <f t="shared" si="90"/>
        <v>0</v>
      </c>
      <c r="K331" s="1386">
        <f t="shared" si="90"/>
        <v>0</v>
      </c>
      <c r="L331" s="1386">
        <f t="shared" si="90"/>
        <v>0</v>
      </c>
      <c r="M331" s="1386">
        <f t="shared" si="90"/>
        <v>0</v>
      </c>
      <c r="N331" s="1386">
        <f t="shared" si="90"/>
        <v>0</v>
      </c>
      <c r="O331" s="1386">
        <f t="shared" si="90"/>
        <v>0</v>
      </c>
      <c r="P331" s="1386">
        <f t="shared" si="90"/>
        <v>0</v>
      </c>
      <c r="Q331" s="1386">
        <f t="shared" si="90"/>
        <v>0</v>
      </c>
      <c r="R331" s="1386">
        <f t="shared" si="90"/>
        <v>0</v>
      </c>
      <c r="S331" s="1386">
        <f t="shared" si="90"/>
        <v>0</v>
      </c>
      <c r="T331" s="1386">
        <f t="shared" si="90"/>
        <v>0</v>
      </c>
      <c r="U331" s="1386">
        <f t="shared" si="90"/>
        <v>0</v>
      </c>
      <c r="V331" s="1386">
        <f t="shared" si="90"/>
        <v>0</v>
      </c>
      <c r="W331" s="1386">
        <f t="shared" si="90"/>
        <v>0</v>
      </c>
      <c r="X331" s="1386">
        <f t="shared" si="90"/>
        <v>0</v>
      </c>
      <c r="Y331" s="1386">
        <f t="shared" si="90"/>
        <v>0</v>
      </c>
      <c r="Z331" s="1386">
        <f t="shared" si="90"/>
        <v>0</v>
      </c>
      <c r="AA331" s="1387">
        <f t="shared" si="90"/>
        <v>0</v>
      </c>
    </row>
    <row r="332" spans="2:27" x14ac:dyDescent="0.25">
      <c r="B332" s="611"/>
      <c r="C332" s="609" t="s">
        <v>66</v>
      </c>
      <c r="D332" s="609"/>
      <c r="E332" s="609"/>
      <c r="F332" s="609"/>
      <c r="G332" s="1384">
        <f>SUM(G329:G331)</f>
        <v>0</v>
      </c>
      <c r="H332" s="1384">
        <f>SUM(H329:H331)</f>
        <v>0</v>
      </c>
      <c r="I332" s="1384">
        <f t="shared" ref="I332:AA332" si="91">SUM(I329:I331)</f>
        <v>0</v>
      </c>
      <c r="J332" s="1384">
        <f t="shared" si="91"/>
        <v>0</v>
      </c>
      <c r="K332" s="1384">
        <f t="shared" si="91"/>
        <v>0</v>
      </c>
      <c r="L332" s="1384">
        <f t="shared" si="91"/>
        <v>0</v>
      </c>
      <c r="M332" s="1384">
        <f t="shared" si="91"/>
        <v>0</v>
      </c>
      <c r="N332" s="1384">
        <f t="shared" si="91"/>
        <v>0</v>
      </c>
      <c r="O332" s="1384">
        <f t="shared" si="91"/>
        <v>0</v>
      </c>
      <c r="P332" s="1384">
        <f t="shared" si="91"/>
        <v>0</v>
      </c>
      <c r="Q332" s="1384">
        <f t="shared" si="91"/>
        <v>0</v>
      </c>
      <c r="R332" s="1384">
        <f t="shared" si="91"/>
        <v>0</v>
      </c>
      <c r="S332" s="1384">
        <f t="shared" si="91"/>
        <v>0</v>
      </c>
      <c r="T332" s="1384">
        <f t="shared" si="91"/>
        <v>0</v>
      </c>
      <c r="U332" s="1384">
        <f t="shared" si="91"/>
        <v>0</v>
      </c>
      <c r="V332" s="1384">
        <f t="shared" si="91"/>
        <v>0</v>
      </c>
      <c r="W332" s="1384">
        <f t="shared" si="91"/>
        <v>0</v>
      </c>
      <c r="X332" s="1384">
        <f t="shared" si="91"/>
        <v>0</v>
      </c>
      <c r="Y332" s="1384">
        <f t="shared" si="91"/>
        <v>0</v>
      </c>
      <c r="Z332" s="1384">
        <f t="shared" si="91"/>
        <v>0</v>
      </c>
      <c r="AA332" s="1385">
        <f t="shared" si="91"/>
        <v>0</v>
      </c>
    </row>
    <row r="333" spans="2:27" x14ac:dyDescent="0.25">
      <c r="B333" s="611"/>
      <c r="C333" s="609"/>
      <c r="D333" s="609"/>
      <c r="E333" s="609"/>
      <c r="F333" s="609"/>
      <c r="G333" s="1384"/>
      <c r="H333" s="1384"/>
      <c r="I333" s="1384"/>
      <c r="J333" s="1384"/>
      <c r="K333" s="1384"/>
      <c r="L333" s="1384"/>
      <c r="M333" s="1384"/>
      <c r="N333" s="1384"/>
      <c r="O333" s="1384"/>
      <c r="P333" s="1384"/>
      <c r="Q333" s="1384"/>
      <c r="R333" s="1384"/>
      <c r="S333" s="1384"/>
      <c r="T333" s="1384"/>
      <c r="U333" s="1384"/>
      <c r="V333" s="1384"/>
      <c r="W333" s="1384"/>
      <c r="X333" s="1384"/>
      <c r="Y333" s="1384"/>
      <c r="Z333" s="1384"/>
      <c r="AA333" s="1385"/>
    </row>
    <row r="334" spans="2:27" x14ac:dyDescent="0.25">
      <c r="B334" s="611"/>
      <c r="C334" s="618" t="s">
        <v>71</v>
      </c>
      <c r="D334" s="609"/>
      <c r="E334" s="609"/>
      <c r="F334" s="609"/>
      <c r="G334" s="1384"/>
      <c r="H334" s="1384"/>
      <c r="I334" s="1384"/>
      <c r="J334" s="1384"/>
      <c r="K334" s="1384"/>
      <c r="L334" s="1384"/>
      <c r="M334" s="1384"/>
      <c r="N334" s="1384"/>
      <c r="O334" s="1384"/>
      <c r="P334" s="1384"/>
      <c r="Q334" s="1384"/>
      <c r="R334" s="1384"/>
      <c r="S334" s="1384"/>
      <c r="T334" s="1384"/>
      <c r="U334" s="1384"/>
      <c r="V334" s="1384"/>
      <c r="W334" s="1384"/>
      <c r="X334" s="1384"/>
      <c r="Y334" s="1384"/>
      <c r="Z334" s="1384"/>
      <c r="AA334" s="1385"/>
    </row>
    <row r="335" spans="2:27" x14ac:dyDescent="0.25">
      <c r="B335" s="611"/>
      <c r="C335" s="609" t="s">
        <v>232</v>
      </c>
      <c r="D335" s="609"/>
      <c r="E335" s="609"/>
      <c r="F335" s="609"/>
      <c r="G335" s="1384"/>
      <c r="H335" s="1384">
        <f>IF($G$319&gt;0, $G$319*'III. Inputs, Renewable Energy'!$V$50/10000,0)</f>
        <v>0</v>
      </c>
      <c r="I335" s="1388">
        <v>0</v>
      </c>
      <c r="J335" s="1388">
        <v>0</v>
      </c>
      <c r="K335" s="1388">
        <v>0</v>
      </c>
      <c r="L335" s="1388">
        <v>0</v>
      </c>
      <c r="M335" s="1388">
        <v>0</v>
      </c>
      <c r="N335" s="1388">
        <v>0</v>
      </c>
      <c r="O335" s="1388">
        <v>0</v>
      </c>
      <c r="P335" s="1388">
        <v>0</v>
      </c>
      <c r="Q335" s="1388">
        <v>0</v>
      </c>
      <c r="R335" s="1388">
        <v>0</v>
      </c>
      <c r="S335" s="1388">
        <v>0</v>
      </c>
      <c r="T335" s="1388">
        <v>0</v>
      </c>
      <c r="U335" s="1388">
        <v>0</v>
      </c>
      <c r="V335" s="1388">
        <v>0</v>
      </c>
      <c r="W335" s="1388">
        <v>0</v>
      </c>
      <c r="X335" s="1388">
        <v>0</v>
      </c>
      <c r="Y335" s="1388">
        <v>0</v>
      </c>
      <c r="Z335" s="1388">
        <v>0</v>
      </c>
      <c r="AA335" s="1389">
        <v>0</v>
      </c>
    </row>
    <row r="336" spans="2:27" x14ac:dyDescent="0.25">
      <c r="B336" s="611"/>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10"/>
    </row>
    <row r="337" spans="1:27" x14ac:dyDescent="0.25">
      <c r="B337" s="611"/>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10"/>
    </row>
    <row r="338" spans="1:27" x14ac:dyDescent="0.25">
      <c r="B338" s="608" t="s">
        <v>86</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10"/>
    </row>
    <row r="339" spans="1:27" x14ac:dyDescent="0.25">
      <c r="B339" s="611"/>
      <c r="C339" s="612" t="s">
        <v>84</v>
      </c>
      <c r="D339" s="609"/>
      <c r="E339" s="609"/>
      <c r="F339" s="1384">
        <f>IF('III. Inputs, Renewable Energy'!V189&gt;0, 'III. Inputs, Renewable Energy'!$U$14*'III. Inputs, Renewable Energy'!$U$15*'III. Inputs, Renewable Energy'!$V$28*'III. Inputs, Renewable Energy'!$V$189,0)</f>
        <v>0</v>
      </c>
      <c r="G339" s="609"/>
      <c r="H339" s="609"/>
      <c r="I339" s="609"/>
      <c r="J339" s="609"/>
      <c r="K339" s="609"/>
      <c r="L339" s="609"/>
      <c r="M339" s="609"/>
      <c r="N339" s="609"/>
      <c r="O339" s="609"/>
      <c r="P339" s="609"/>
      <c r="Q339" s="609"/>
      <c r="R339" s="609"/>
      <c r="S339" s="609"/>
      <c r="T339" s="609"/>
      <c r="U339" s="609"/>
      <c r="V339" s="609"/>
      <c r="W339" s="609"/>
      <c r="X339" s="609"/>
      <c r="Y339" s="609"/>
      <c r="Z339" s="609"/>
      <c r="AA339" s="610"/>
    </row>
    <row r="340" spans="1:27" x14ac:dyDescent="0.25">
      <c r="B340" s="611"/>
      <c r="C340" s="612" t="str">
        <f>'III. Inputs, Renewable Energy'!$N$190</f>
        <v xml:space="preserve">Term of Political Risk Insurance </v>
      </c>
      <c r="D340" s="609"/>
      <c r="E340" s="609"/>
      <c r="F340" s="620">
        <f>'III. Inputs, Renewable Energy'!V190</f>
        <v>0</v>
      </c>
      <c r="G340" s="609"/>
      <c r="H340" s="609"/>
      <c r="I340" s="609"/>
      <c r="J340" s="609"/>
      <c r="K340" s="609"/>
      <c r="L340" s="609"/>
      <c r="M340" s="609"/>
      <c r="N340" s="609"/>
      <c r="O340" s="609"/>
      <c r="P340" s="609"/>
      <c r="Q340" s="609"/>
      <c r="R340" s="609"/>
      <c r="S340" s="609"/>
      <c r="T340" s="609"/>
      <c r="U340" s="609"/>
      <c r="V340" s="609"/>
      <c r="W340" s="609"/>
      <c r="X340" s="609"/>
      <c r="Y340" s="609"/>
      <c r="Z340" s="609"/>
      <c r="AA340" s="610"/>
    </row>
    <row r="341" spans="1:27" x14ac:dyDescent="0.25">
      <c r="B341" s="611"/>
      <c r="C341" s="612" t="str">
        <f>'III. Inputs, Renewable Energy'!$N$191</f>
        <v xml:space="preserve">Front-end Fee </v>
      </c>
      <c r="D341" s="609"/>
      <c r="E341" s="609"/>
      <c r="F341" s="620">
        <f>'III. Inputs, Renewable Energy'!V191</f>
        <v>0</v>
      </c>
      <c r="G341" s="609"/>
      <c r="H341" s="609"/>
      <c r="I341" s="609"/>
      <c r="J341" s="609"/>
      <c r="K341" s="609"/>
      <c r="L341" s="609"/>
      <c r="M341" s="609"/>
      <c r="N341" s="609"/>
      <c r="O341" s="609"/>
      <c r="P341" s="609"/>
      <c r="Q341" s="609"/>
      <c r="R341" s="609"/>
      <c r="S341" s="609"/>
      <c r="T341" s="609"/>
      <c r="U341" s="609"/>
      <c r="V341" s="609"/>
      <c r="W341" s="609"/>
      <c r="X341" s="609"/>
      <c r="Y341" s="609"/>
      <c r="Z341" s="609"/>
      <c r="AA341" s="610"/>
    </row>
    <row r="342" spans="1:27" x14ac:dyDescent="0.25">
      <c r="B342" s="611"/>
      <c r="C342" s="612" t="str">
        <f>'III. Inputs, Renewable Energy'!$N$192</f>
        <v xml:space="preserve">Annual Political Risk Insurance Premium </v>
      </c>
      <c r="D342" s="609"/>
      <c r="E342" s="609"/>
      <c r="F342" s="620">
        <f>'III. Inputs, Renewable Energy'!V192</f>
        <v>0</v>
      </c>
      <c r="G342" s="609"/>
      <c r="H342" s="609"/>
      <c r="I342" s="609"/>
      <c r="J342" s="609"/>
      <c r="K342" s="609"/>
      <c r="L342" s="609"/>
      <c r="M342" s="609"/>
      <c r="N342" s="609"/>
      <c r="O342" s="609"/>
      <c r="P342" s="609"/>
      <c r="Q342" s="609"/>
      <c r="R342" s="609"/>
      <c r="S342" s="609"/>
      <c r="T342" s="609"/>
      <c r="U342" s="609"/>
      <c r="V342" s="609"/>
      <c r="W342" s="609"/>
      <c r="X342" s="609"/>
      <c r="Y342" s="609"/>
      <c r="Z342" s="609"/>
      <c r="AA342" s="610"/>
    </row>
    <row r="343" spans="1:27" x14ac:dyDescent="0.25">
      <c r="B343" s="611"/>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10"/>
    </row>
    <row r="344" spans="1:27" x14ac:dyDescent="0.25">
      <c r="B344" s="611"/>
      <c r="C344" s="618" t="s">
        <v>71</v>
      </c>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10"/>
    </row>
    <row r="345" spans="1:27" x14ac:dyDescent="0.25">
      <c r="B345" s="611"/>
      <c r="C345" s="609" t="str">
        <f>'III. Inputs, Renewable Energy'!$N$191</f>
        <v xml:space="preserve">Front-end Fee </v>
      </c>
      <c r="D345" s="609"/>
      <c r="E345" s="609"/>
      <c r="F345" s="609"/>
      <c r="G345" s="609"/>
      <c r="H345" s="1384">
        <f>IF(F339&gt;0, F339*F341/10000, 0)</f>
        <v>0</v>
      </c>
      <c r="I345" s="1388">
        <v>0</v>
      </c>
      <c r="J345" s="1388">
        <v>0</v>
      </c>
      <c r="K345" s="1388">
        <v>0</v>
      </c>
      <c r="L345" s="1388">
        <v>0</v>
      </c>
      <c r="M345" s="1388">
        <v>0</v>
      </c>
      <c r="N345" s="1388">
        <v>0</v>
      </c>
      <c r="O345" s="1388">
        <v>0</v>
      </c>
      <c r="P345" s="1388">
        <v>0</v>
      </c>
      <c r="Q345" s="1388">
        <v>0</v>
      </c>
      <c r="R345" s="1388">
        <v>0</v>
      </c>
      <c r="S345" s="1388">
        <v>0</v>
      </c>
      <c r="T345" s="1388">
        <v>0</v>
      </c>
      <c r="U345" s="1388">
        <v>0</v>
      </c>
      <c r="V345" s="1388">
        <v>0</v>
      </c>
      <c r="W345" s="1388">
        <v>0</v>
      </c>
      <c r="X345" s="1388">
        <v>0</v>
      </c>
      <c r="Y345" s="1388">
        <v>0</v>
      </c>
      <c r="Z345" s="1388">
        <v>0</v>
      </c>
      <c r="AA345" s="1389">
        <v>0</v>
      </c>
    </row>
    <row r="346" spans="1:27" x14ac:dyDescent="0.25">
      <c r="B346" s="611"/>
      <c r="C346" s="617" t="str">
        <f>'III. Inputs, Renewable Energy'!$N$192</f>
        <v xml:space="preserve">Annual Political Risk Insurance Premium </v>
      </c>
      <c r="D346" s="617"/>
      <c r="E346" s="617"/>
      <c r="F346" s="617"/>
      <c r="G346" s="617"/>
      <c r="H346" s="1386">
        <f>IF(H$196&gt;$F$340,0,($F$339*$F$342/10000))</f>
        <v>0</v>
      </c>
      <c r="I346" s="1386">
        <f t="shared" ref="I346:AA346" si="92">IF(I$196&gt;$F$340,0,($F$339*$F$342/10000))</f>
        <v>0</v>
      </c>
      <c r="J346" s="1386">
        <f t="shared" si="92"/>
        <v>0</v>
      </c>
      <c r="K346" s="1386">
        <f t="shared" si="92"/>
        <v>0</v>
      </c>
      <c r="L346" s="1386">
        <f t="shared" si="92"/>
        <v>0</v>
      </c>
      <c r="M346" s="1386">
        <f t="shared" si="92"/>
        <v>0</v>
      </c>
      <c r="N346" s="1386">
        <f t="shared" si="92"/>
        <v>0</v>
      </c>
      <c r="O346" s="1386">
        <f t="shared" si="92"/>
        <v>0</v>
      </c>
      <c r="P346" s="1386">
        <f t="shared" si="92"/>
        <v>0</v>
      </c>
      <c r="Q346" s="1386">
        <f t="shared" si="92"/>
        <v>0</v>
      </c>
      <c r="R346" s="1386">
        <f t="shared" si="92"/>
        <v>0</v>
      </c>
      <c r="S346" s="1386">
        <f t="shared" si="92"/>
        <v>0</v>
      </c>
      <c r="T346" s="1386">
        <f t="shared" si="92"/>
        <v>0</v>
      </c>
      <c r="U346" s="1386">
        <f t="shared" si="92"/>
        <v>0</v>
      </c>
      <c r="V346" s="1386">
        <f t="shared" si="92"/>
        <v>0</v>
      </c>
      <c r="W346" s="1386">
        <f t="shared" si="92"/>
        <v>0</v>
      </c>
      <c r="X346" s="1386">
        <f t="shared" si="92"/>
        <v>0</v>
      </c>
      <c r="Y346" s="1386">
        <f t="shared" si="92"/>
        <v>0</v>
      </c>
      <c r="Z346" s="1386">
        <f t="shared" si="92"/>
        <v>0</v>
      </c>
      <c r="AA346" s="1387">
        <f t="shared" si="92"/>
        <v>0</v>
      </c>
    </row>
    <row r="347" spans="1:27" x14ac:dyDescent="0.25">
      <c r="B347" s="611"/>
      <c r="C347" s="609" t="s">
        <v>85</v>
      </c>
      <c r="D347" s="609"/>
      <c r="E347" s="609"/>
      <c r="F347" s="609"/>
      <c r="G347" s="609"/>
      <c r="H347" s="1384">
        <f>H345+H346</f>
        <v>0</v>
      </c>
      <c r="I347" s="1384">
        <f t="shared" ref="I347:AA347" si="93">I345+I346</f>
        <v>0</v>
      </c>
      <c r="J347" s="1384">
        <f t="shared" si="93"/>
        <v>0</v>
      </c>
      <c r="K347" s="1384">
        <f t="shared" si="93"/>
        <v>0</v>
      </c>
      <c r="L347" s="1384">
        <f t="shared" si="93"/>
        <v>0</v>
      </c>
      <c r="M347" s="1384">
        <f t="shared" si="93"/>
        <v>0</v>
      </c>
      <c r="N347" s="1384">
        <f t="shared" si="93"/>
        <v>0</v>
      </c>
      <c r="O347" s="1384">
        <f t="shared" si="93"/>
        <v>0</v>
      </c>
      <c r="P347" s="1384">
        <f t="shared" si="93"/>
        <v>0</v>
      </c>
      <c r="Q347" s="1384">
        <f t="shared" si="93"/>
        <v>0</v>
      </c>
      <c r="R347" s="1384">
        <f t="shared" si="93"/>
        <v>0</v>
      </c>
      <c r="S347" s="1384">
        <f t="shared" si="93"/>
        <v>0</v>
      </c>
      <c r="T347" s="1384">
        <f t="shared" si="93"/>
        <v>0</v>
      </c>
      <c r="U347" s="1384">
        <f t="shared" si="93"/>
        <v>0</v>
      </c>
      <c r="V347" s="1384">
        <f t="shared" si="93"/>
        <v>0</v>
      </c>
      <c r="W347" s="1384">
        <f t="shared" si="93"/>
        <v>0</v>
      </c>
      <c r="X347" s="1384">
        <f t="shared" si="93"/>
        <v>0</v>
      </c>
      <c r="Y347" s="1384">
        <f t="shared" si="93"/>
        <v>0</v>
      </c>
      <c r="Z347" s="1384">
        <f t="shared" si="93"/>
        <v>0</v>
      </c>
      <c r="AA347" s="1385">
        <f t="shared" si="93"/>
        <v>0</v>
      </c>
    </row>
    <row r="348" spans="1:27" ht="13.8" thickBot="1" x14ac:dyDescent="0.3">
      <c r="B348" s="621"/>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3"/>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263</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3" t="s">
        <v>58</v>
      </c>
      <c r="C353" s="213"/>
      <c r="D353" s="214"/>
      <c r="E353" s="214"/>
      <c r="F353" s="215"/>
      <c r="G353" s="215">
        <v>0</v>
      </c>
      <c r="H353" s="215">
        <v>1</v>
      </c>
      <c r="I353" s="215">
        <v>2</v>
      </c>
      <c r="J353" s="215">
        <v>3</v>
      </c>
      <c r="K353" s="215">
        <v>4</v>
      </c>
      <c r="L353" s="215">
        <v>5</v>
      </c>
      <c r="M353" s="215">
        <v>6</v>
      </c>
      <c r="N353" s="215">
        <v>7</v>
      </c>
      <c r="O353" s="215">
        <v>8</v>
      </c>
      <c r="P353" s="215">
        <v>9</v>
      </c>
      <c r="Q353" s="215">
        <v>10</v>
      </c>
      <c r="R353" s="215">
        <v>11</v>
      </c>
      <c r="S353" s="215">
        <v>12</v>
      </c>
      <c r="T353" s="215">
        <v>13</v>
      </c>
      <c r="U353" s="215">
        <v>14</v>
      </c>
      <c r="V353" s="215">
        <v>15</v>
      </c>
      <c r="W353" s="215">
        <v>16</v>
      </c>
      <c r="X353" s="215">
        <v>17</v>
      </c>
      <c r="Y353" s="215">
        <v>18</v>
      </c>
      <c r="Z353" s="215">
        <v>19</v>
      </c>
      <c r="AA353" s="215">
        <v>20</v>
      </c>
    </row>
    <row r="354" spans="2:27" ht="13.8" thickBot="1" x14ac:dyDescent="0.3">
      <c r="F354" s="206"/>
    </row>
    <row r="355" spans="2:27" x14ac:dyDescent="0.25">
      <c r="B355" s="624" t="s">
        <v>491</v>
      </c>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2:27" x14ac:dyDescent="0.25">
      <c r="B356" s="627"/>
      <c r="C356" s="628"/>
      <c r="D356" s="628"/>
      <c r="E356" s="628"/>
      <c r="F356" s="628"/>
      <c r="G356" s="628"/>
      <c r="H356" s="628"/>
      <c r="I356" s="628"/>
      <c r="J356" s="628"/>
      <c r="K356" s="628"/>
      <c r="L356" s="628"/>
      <c r="M356" s="628"/>
      <c r="N356" s="628"/>
      <c r="O356" s="628"/>
      <c r="P356" s="628"/>
      <c r="Q356" s="628"/>
      <c r="R356" s="628"/>
      <c r="S356" s="628"/>
      <c r="T356" s="628"/>
      <c r="U356" s="628"/>
      <c r="V356" s="628"/>
      <c r="W356" s="628"/>
      <c r="X356" s="628"/>
      <c r="Y356" s="628"/>
      <c r="Z356" s="628"/>
      <c r="AA356" s="629"/>
    </row>
    <row r="357" spans="2:27" x14ac:dyDescent="0.25">
      <c r="B357" s="627"/>
      <c r="C357" s="630" t="s">
        <v>64</v>
      </c>
      <c r="D357" s="631" t="str">
        <f>'III. Inputs, Renewable Energy'!$U$17</f>
        <v>MODEL VERSION 2.0 (OCTOBER 2016)</v>
      </c>
      <c r="E357" s="632" t="s">
        <v>20</v>
      </c>
      <c r="F357" s="628"/>
      <c r="G357" s="628"/>
      <c r="H357" s="628"/>
      <c r="I357" s="628"/>
      <c r="J357" s="628"/>
      <c r="K357" s="628"/>
      <c r="L357" s="628"/>
      <c r="M357" s="628"/>
      <c r="N357" s="628"/>
      <c r="O357" s="628"/>
      <c r="P357" s="628"/>
      <c r="Q357" s="628"/>
      <c r="R357" s="628"/>
      <c r="S357" s="628"/>
      <c r="T357" s="628"/>
      <c r="U357" s="628"/>
      <c r="V357" s="628"/>
      <c r="W357" s="628"/>
      <c r="X357" s="628"/>
      <c r="Y357" s="628"/>
      <c r="Z357" s="628"/>
      <c r="AA357" s="629"/>
    </row>
    <row r="358" spans="2:27" x14ac:dyDescent="0.25">
      <c r="B358" s="627"/>
      <c r="C358" s="628"/>
      <c r="D358" s="628"/>
      <c r="E358" s="628"/>
      <c r="F358" s="628"/>
      <c r="G358" s="628"/>
      <c r="H358" s="628"/>
      <c r="I358" s="628"/>
      <c r="J358" s="628"/>
      <c r="K358" s="628"/>
      <c r="L358" s="628"/>
      <c r="M358" s="628"/>
      <c r="N358" s="628"/>
      <c r="O358" s="628"/>
      <c r="P358" s="628"/>
      <c r="Q358" s="628"/>
      <c r="R358" s="628"/>
      <c r="S358" s="628"/>
      <c r="T358" s="628"/>
      <c r="U358" s="628"/>
      <c r="V358" s="628"/>
      <c r="W358" s="628"/>
      <c r="X358" s="628"/>
      <c r="Y358" s="628"/>
      <c r="Z358" s="628"/>
      <c r="AA358" s="629"/>
    </row>
    <row r="359" spans="2:27" x14ac:dyDescent="0.25">
      <c r="B359" s="627"/>
      <c r="C359" s="628" t="s">
        <v>59</v>
      </c>
      <c r="D359" s="628"/>
      <c r="E359" s="628"/>
      <c r="F359" s="628"/>
      <c r="G359" s="633"/>
      <c r="H359" s="634" t="e">
        <f>IF(H353&gt;$D$357,0,1/$D$357)</f>
        <v>#VALUE!</v>
      </c>
      <c r="I359" s="634" t="e">
        <f t="shared" ref="I359:AA359" si="94">IF(I353&gt;$D$357,0,1/$D$357)</f>
        <v>#VALUE!</v>
      </c>
      <c r="J359" s="634" t="e">
        <f t="shared" si="94"/>
        <v>#VALUE!</v>
      </c>
      <c r="K359" s="634" t="e">
        <f t="shared" si="94"/>
        <v>#VALUE!</v>
      </c>
      <c r="L359" s="634" t="e">
        <f t="shared" si="94"/>
        <v>#VALUE!</v>
      </c>
      <c r="M359" s="634" t="e">
        <f t="shared" si="94"/>
        <v>#VALUE!</v>
      </c>
      <c r="N359" s="634" t="e">
        <f t="shared" si="94"/>
        <v>#VALUE!</v>
      </c>
      <c r="O359" s="634" t="e">
        <f t="shared" si="94"/>
        <v>#VALUE!</v>
      </c>
      <c r="P359" s="634" t="e">
        <f t="shared" si="94"/>
        <v>#VALUE!</v>
      </c>
      <c r="Q359" s="634" t="e">
        <f t="shared" si="94"/>
        <v>#VALUE!</v>
      </c>
      <c r="R359" s="634" t="e">
        <f t="shared" si="94"/>
        <v>#VALUE!</v>
      </c>
      <c r="S359" s="634" t="e">
        <f t="shared" si="94"/>
        <v>#VALUE!</v>
      </c>
      <c r="T359" s="634" t="e">
        <f t="shared" si="94"/>
        <v>#VALUE!</v>
      </c>
      <c r="U359" s="634" t="e">
        <f t="shared" si="94"/>
        <v>#VALUE!</v>
      </c>
      <c r="V359" s="634" t="e">
        <f t="shared" si="94"/>
        <v>#VALUE!</v>
      </c>
      <c r="W359" s="634" t="e">
        <f t="shared" si="94"/>
        <v>#VALUE!</v>
      </c>
      <c r="X359" s="634" t="e">
        <f t="shared" si="94"/>
        <v>#VALUE!</v>
      </c>
      <c r="Y359" s="634" t="e">
        <f t="shared" si="94"/>
        <v>#VALUE!</v>
      </c>
      <c r="Z359" s="634" t="e">
        <f t="shared" si="94"/>
        <v>#VALUE!</v>
      </c>
      <c r="AA359" s="635" t="e">
        <f t="shared" si="94"/>
        <v>#VALUE!</v>
      </c>
    </row>
    <row r="360" spans="2:27" x14ac:dyDescent="0.25">
      <c r="B360" s="627"/>
      <c r="C360" s="628" t="s">
        <v>60</v>
      </c>
      <c r="D360" s="628"/>
      <c r="E360" s="628"/>
      <c r="F360" s="628"/>
      <c r="G360" s="636"/>
      <c r="H360" s="634">
        <v>0</v>
      </c>
      <c r="I360" s="634">
        <v>0</v>
      </c>
      <c r="J360" s="634">
        <v>0</v>
      </c>
      <c r="K360" s="634">
        <v>0</v>
      </c>
      <c r="L360" s="634">
        <v>0</v>
      </c>
      <c r="M360" s="634">
        <v>0</v>
      </c>
      <c r="N360" s="634">
        <v>0</v>
      </c>
      <c r="O360" s="634">
        <v>0</v>
      </c>
      <c r="P360" s="634">
        <v>0</v>
      </c>
      <c r="Q360" s="634">
        <v>0</v>
      </c>
      <c r="R360" s="634">
        <v>0</v>
      </c>
      <c r="S360" s="634">
        <v>0</v>
      </c>
      <c r="T360" s="634">
        <v>0</v>
      </c>
      <c r="U360" s="634">
        <v>0</v>
      </c>
      <c r="V360" s="634">
        <v>0</v>
      </c>
      <c r="W360" s="634">
        <v>0</v>
      </c>
      <c r="X360" s="634">
        <v>0</v>
      </c>
      <c r="Y360" s="634">
        <v>0</v>
      </c>
      <c r="Z360" s="634">
        <v>0</v>
      </c>
      <c r="AA360" s="635">
        <v>0</v>
      </c>
    </row>
    <row r="361" spans="2:27" x14ac:dyDescent="0.25">
      <c r="B361" s="627"/>
      <c r="C361" s="628"/>
      <c r="D361" s="628"/>
      <c r="E361" s="628"/>
      <c r="F361" s="628"/>
      <c r="G361" s="628"/>
      <c r="H361" s="628"/>
      <c r="I361" s="628"/>
      <c r="J361" s="628"/>
      <c r="K361" s="628"/>
      <c r="L361" s="628"/>
      <c r="M361" s="628"/>
      <c r="N361" s="628"/>
      <c r="O361" s="628"/>
      <c r="P361" s="628"/>
      <c r="Q361" s="628"/>
      <c r="R361" s="628"/>
      <c r="S361" s="628"/>
      <c r="T361" s="628"/>
      <c r="U361" s="628"/>
      <c r="V361" s="628"/>
      <c r="W361" s="628"/>
      <c r="X361" s="628"/>
      <c r="Y361" s="628"/>
      <c r="Z361" s="628"/>
      <c r="AA361" s="629"/>
    </row>
    <row r="362" spans="2:27" x14ac:dyDescent="0.25">
      <c r="B362" s="627"/>
      <c r="C362" s="628"/>
      <c r="D362" s="628"/>
      <c r="E362" s="628"/>
      <c r="F362" s="637" t="s">
        <v>61</v>
      </c>
      <c r="G362" s="637" t="s">
        <v>62</v>
      </c>
      <c r="H362" s="628"/>
      <c r="I362" s="628"/>
      <c r="J362" s="628"/>
      <c r="K362" s="628"/>
      <c r="L362" s="628"/>
      <c r="M362" s="628"/>
      <c r="N362" s="628"/>
      <c r="O362" s="628"/>
      <c r="P362" s="628"/>
      <c r="Q362" s="628"/>
      <c r="R362" s="628"/>
      <c r="S362" s="628"/>
      <c r="T362" s="628"/>
      <c r="U362" s="628"/>
      <c r="V362" s="628"/>
      <c r="W362" s="628"/>
      <c r="X362" s="628"/>
      <c r="Y362" s="628"/>
      <c r="Z362" s="628"/>
      <c r="AA362" s="629"/>
    </row>
    <row r="363" spans="2:27" x14ac:dyDescent="0.25">
      <c r="B363" s="627"/>
      <c r="C363" s="628" t="s">
        <v>57</v>
      </c>
      <c r="D363" s="628"/>
      <c r="E363" s="628"/>
      <c r="F363" s="634">
        <f>'III. Inputs, Renewable Energy'!S231</f>
        <v>0.95</v>
      </c>
      <c r="G363" s="1390">
        <f>IF('III. Inputs, Renewable Energy'!U243=0,0,('III. Inputs, Renewable Energy'!U242+('III. Inputs, Renewable Energy'!U238*'III. Inputs, Renewable Energy'!U240*'III. Inputs, Renewable Energy'!U241))*('III. Inputs, Renewable Energy'!U14/'III. Inputs, Renewable Energy'!U243)*F363)</f>
        <v>0</v>
      </c>
      <c r="H363" s="1390" t="e">
        <f xml:space="preserve"> $G$363*H359</f>
        <v>#VALUE!</v>
      </c>
      <c r="I363" s="1390" t="e">
        <f t="shared" ref="I363:AA363" si="95" xml:space="preserve"> $G$363*I359</f>
        <v>#VALUE!</v>
      </c>
      <c r="J363" s="1390" t="e">
        <f t="shared" si="95"/>
        <v>#VALUE!</v>
      </c>
      <c r="K363" s="1390" t="e">
        <f t="shared" si="95"/>
        <v>#VALUE!</v>
      </c>
      <c r="L363" s="1390" t="e">
        <f t="shared" si="95"/>
        <v>#VALUE!</v>
      </c>
      <c r="M363" s="1390" t="e">
        <f t="shared" si="95"/>
        <v>#VALUE!</v>
      </c>
      <c r="N363" s="1390" t="e">
        <f t="shared" si="95"/>
        <v>#VALUE!</v>
      </c>
      <c r="O363" s="1390" t="e">
        <f t="shared" si="95"/>
        <v>#VALUE!</v>
      </c>
      <c r="P363" s="1390" t="e">
        <f t="shared" si="95"/>
        <v>#VALUE!</v>
      </c>
      <c r="Q363" s="1390" t="e">
        <f t="shared" si="95"/>
        <v>#VALUE!</v>
      </c>
      <c r="R363" s="1390" t="e">
        <f t="shared" si="95"/>
        <v>#VALUE!</v>
      </c>
      <c r="S363" s="1390" t="e">
        <f t="shared" si="95"/>
        <v>#VALUE!</v>
      </c>
      <c r="T363" s="1390" t="e">
        <f t="shared" si="95"/>
        <v>#VALUE!</v>
      </c>
      <c r="U363" s="1390" t="e">
        <f t="shared" si="95"/>
        <v>#VALUE!</v>
      </c>
      <c r="V363" s="1390" t="e">
        <f t="shared" si="95"/>
        <v>#VALUE!</v>
      </c>
      <c r="W363" s="1390" t="e">
        <f t="shared" si="95"/>
        <v>#VALUE!</v>
      </c>
      <c r="X363" s="1390" t="e">
        <f t="shared" si="95"/>
        <v>#VALUE!</v>
      </c>
      <c r="Y363" s="1390" t="e">
        <f t="shared" si="95"/>
        <v>#VALUE!</v>
      </c>
      <c r="Z363" s="1390" t="e">
        <f t="shared" si="95"/>
        <v>#VALUE!</v>
      </c>
      <c r="AA363" s="1391" t="e">
        <f t="shared" si="95"/>
        <v>#VALUE!</v>
      </c>
    </row>
    <row r="364" spans="2:27" x14ac:dyDescent="0.25">
      <c r="B364" s="627"/>
      <c r="C364" s="638" t="s">
        <v>18</v>
      </c>
      <c r="D364" s="638"/>
      <c r="E364" s="638"/>
      <c r="F364" s="639">
        <f>'III. Inputs, Renewable Energy'!S232</f>
        <v>0.05</v>
      </c>
      <c r="G364" s="1392">
        <f>IF('III. Inputs, Renewable Energy'!U243=0,0,('III. Inputs, Renewable Energy'!U242+('III. Inputs, Renewable Energy'!U238*'III. Inputs, Renewable Energy'!U240*'III. Inputs, Renewable Energy'!U241))*('III. Inputs, Renewable Energy'!U14/'III. Inputs, Renewable Energy'!U243)*F364)</f>
        <v>0</v>
      </c>
      <c r="H364" s="1392">
        <f>$G$364*H360</f>
        <v>0</v>
      </c>
      <c r="I364" s="1392">
        <f t="shared" ref="I364:AA364" si="96">$G$364*I360</f>
        <v>0</v>
      </c>
      <c r="J364" s="1392">
        <f t="shared" si="96"/>
        <v>0</v>
      </c>
      <c r="K364" s="1392">
        <f t="shared" si="96"/>
        <v>0</v>
      </c>
      <c r="L364" s="1392">
        <f t="shared" si="96"/>
        <v>0</v>
      </c>
      <c r="M364" s="1392">
        <f t="shared" si="96"/>
        <v>0</v>
      </c>
      <c r="N364" s="1392">
        <f t="shared" si="96"/>
        <v>0</v>
      </c>
      <c r="O364" s="1392">
        <f t="shared" si="96"/>
        <v>0</v>
      </c>
      <c r="P364" s="1392">
        <f t="shared" si="96"/>
        <v>0</v>
      </c>
      <c r="Q364" s="1392">
        <f t="shared" si="96"/>
        <v>0</v>
      </c>
      <c r="R364" s="1392">
        <f t="shared" si="96"/>
        <v>0</v>
      </c>
      <c r="S364" s="1392">
        <f t="shared" si="96"/>
        <v>0</v>
      </c>
      <c r="T364" s="1392">
        <f t="shared" si="96"/>
        <v>0</v>
      </c>
      <c r="U364" s="1392">
        <f t="shared" si="96"/>
        <v>0</v>
      </c>
      <c r="V364" s="1392">
        <f t="shared" si="96"/>
        <v>0</v>
      </c>
      <c r="W364" s="1392">
        <f t="shared" si="96"/>
        <v>0</v>
      </c>
      <c r="X364" s="1392">
        <f t="shared" si="96"/>
        <v>0</v>
      </c>
      <c r="Y364" s="1392">
        <f t="shared" si="96"/>
        <v>0</v>
      </c>
      <c r="Z364" s="1392">
        <f t="shared" si="96"/>
        <v>0</v>
      </c>
      <c r="AA364" s="1393">
        <f t="shared" si="96"/>
        <v>0</v>
      </c>
    </row>
    <row r="365" spans="2:27" x14ac:dyDescent="0.25">
      <c r="B365" s="627"/>
      <c r="C365" s="628" t="s">
        <v>63</v>
      </c>
      <c r="D365" s="628"/>
      <c r="E365" s="628"/>
      <c r="F365" s="628"/>
      <c r="G365" s="1390">
        <f>G363+G364</f>
        <v>0</v>
      </c>
      <c r="H365" s="1390" t="e">
        <f>H363+H364</f>
        <v>#VALUE!</v>
      </c>
      <c r="I365" s="1390" t="e">
        <f t="shared" ref="I365:AA365" si="97">I363+I364</f>
        <v>#VALUE!</v>
      </c>
      <c r="J365" s="1390" t="e">
        <f t="shared" si="97"/>
        <v>#VALUE!</v>
      </c>
      <c r="K365" s="1390" t="e">
        <f t="shared" si="97"/>
        <v>#VALUE!</v>
      </c>
      <c r="L365" s="1390" t="e">
        <f t="shared" si="97"/>
        <v>#VALUE!</v>
      </c>
      <c r="M365" s="1390" t="e">
        <f t="shared" si="97"/>
        <v>#VALUE!</v>
      </c>
      <c r="N365" s="1390" t="e">
        <f t="shared" si="97"/>
        <v>#VALUE!</v>
      </c>
      <c r="O365" s="1390" t="e">
        <f t="shared" si="97"/>
        <v>#VALUE!</v>
      </c>
      <c r="P365" s="1390" t="e">
        <f t="shared" si="97"/>
        <v>#VALUE!</v>
      </c>
      <c r="Q365" s="1390" t="e">
        <f t="shared" si="97"/>
        <v>#VALUE!</v>
      </c>
      <c r="R365" s="1390" t="e">
        <f t="shared" si="97"/>
        <v>#VALUE!</v>
      </c>
      <c r="S365" s="1390" t="e">
        <f t="shared" si="97"/>
        <v>#VALUE!</v>
      </c>
      <c r="T365" s="1390" t="e">
        <f t="shared" si="97"/>
        <v>#VALUE!</v>
      </c>
      <c r="U365" s="1390" t="e">
        <f t="shared" si="97"/>
        <v>#VALUE!</v>
      </c>
      <c r="V365" s="1390" t="e">
        <f t="shared" si="97"/>
        <v>#VALUE!</v>
      </c>
      <c r="W365" s="1390" t="e">
        <f t="shared" si="97"/>
        <v>#VALUE!</v>
      </c>
      <c r="X365" s="1390" t="e">
        <f t="shared" si="97"/>
        <v>#VALUE!</v>
      </c>
      <c r="Y365" s="1390" t="e">
        <f t="shared" si="97"/>
        <v>#VALUE!</v>
      </c>
      <c r="Z365" s="1390" t="e">
        <f t="shared" si="97"/>
        <v>#VALUE!</v>
      </c>
      <c r="AA365" s="1391" t="e">
        <f t="shared" si="97"/>
        <v>#VALUE!</v>
      </c>
    </row>
    <row r="366" spans="2:27" x14ac:dyDescent="0.25">
      <c r="B366" s="627"/>
      <c r="C366" s="628"/>
      <c r="D366" s="628"/>
      <c r="E366" s="628"/>
      <c r="F366" s="628"/>
      <c r="G366" s="628"/>
      <c r="H366" s="628"/>
      <c r="I366" s="628"/>
      <c r="J366" s="628"/>
      <c r="K366" s="628"/>
      <c r="L366" s="628"/>
      <c r="M366" s="628"/>
      <c r="N366" s="628"/>
      <c r="O366" s="628"/>
      <c r="P366" s="628"/>
      <c r="Q366" s="628"/>
      <c r="R366" s="628"/>
      <c r="S366" s="628"/>
      <c r="T366" s="628"/>
      <c r="U366" s="628"/>
      <c r="V366" s="628"/>
      <c r="W366" s="628"/>
      <c r="X366" s="628"/>
      <c r="Y366" s="628"/>
      <c r="Z366" s="628"/>
      <c r="AA366" s="629"/>
    </row>
    <row r="367" spans="2:27" ht="13.8" thickBot="1" x14ac:dyDescent="0.3">
      <c r="B367" s="640"/>
      <c r="C367" s="641"/>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2"/>
    </row>
    <row r="368" spans="2:27" ht="13.8" thickBot="1" x14ac:dyDescent="0.3"/>
    <row r="369" spans="2:27" x14ac:dyDescent="0.25">
      <c r="B369" s="572" t="s">
        <v>492</v>
      </c>
      <c r="C369" s="64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4"/>
    </row>
    <row r="370" spans="2:27" x14ac:dyDescent="0.25">
      <c r="B370" s="575"/>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6"/>
    </row>
    <row r="371" spans="2:27" x14ac:dyDescent="0.25">
      <c r="B371" s="575"/>
      <c r="C371" s="644" t="s">
        <v>64</v>
      </c>
      <c r="D371" s="645" t="str">
        <f>'III. Inputs, Renewable Energy'!$U$17</f>
        <v>MODEL VERSION 2.0 (OCTOBER 2016)</v>
      </c>
      <c r="E371" s="646" t="s">
        <v>20</v>
      </c>
      <c r="F371" s="38"/>
      <c r="G371" s="38"/>
      <c r="H371" s="38"/>
      <c r="I371" s="38"/>
      <c r="J371" s="38"/>
      <c r="K371" s="38"/>
      <c r="L371" s="38"/>
      <c r="M371" s="38"/>
      <c r="N371" s="38"/>
      <c r="O371" s="38"/>
      <c r="P371" s="38"/>
      <c r="Q371" s="38"/>
      <c r="R371" s="38"/>
      <c r="S371" s="38"/>
      <c r="T371" s="38"/>
      <c r="U371" s="38"/>
      <c r="V371" s="38"/>
      <c r="W371" s="38"/>
      <c r="X371" s="38"/>
      <c r="Y371" s="38"/>
      <c r="Z371" s="38"/>
      <c r="AA371" s="576"/>
    </row>
    <row r="372" spans="2:27" x14ac:dyDescent="0.25">
      <c r="B372" s="575"/>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6"/>
    </row>
    <row r="373" spans="2:27" x14ac:dyDescent="0.25">
      <c r="B373" s="575"/>
      <c r="C373" s="38" t="s">
        <v>59</v>
      </c>
      <c r="D373" s="38"/>
      <c r="E373" s="38"/>
      <c r="F373" s="38"/>
      <c r="G373" s="647"/>
      <c r="H373" s="580" t="e">
        <f>IF(H353&gt;$D$371,0,1/$D$371)</f>
        <v>#VALUE!</v>
      </c>
      <c r="I373" s="580" t="e">
        <f t="shared" ref="I373:AA373" si="98">IF(I353&gt;$D$371,0,1/$D$371)</f>
        <v>#VALUE!</v>
      </c>
      <c r="J373" s="580" t="e">
        <f t="shared" si="98"/>
        <v>#VALUE!</v>
      </c>
      <c r="K373" s="580" t="e">
        <f t="shared" si="98"/>
        <v>#VALUE!</v>
      </c>
      <c r="L373" s="580" t="e">
        <f t="shared" si="98"/>
        <v>#VALUE!</v>
      </c>
      <c r="M373" s="580" t="e">
        <f t="shared" si="98"/>
        <v>#VALUE!</v>
      </c>
      <c r="N373" s="580" t="e">
        <f t="shared" si="98"/>
        <v>#VALUE!</v>
      </c>
      <c r="O373" s="580" t="e">
        <f t="shared" si="98"/>
        <v>#VALUE!</v>
      </c>
      <c r="P373" s="580" t="e">
        <f t="shared" si="98"/>
        <v>#VALUE!</v>
      </c>
      <c r="Q373" s="580" t="e">
        <f t="shared" si="98"/>
        <v>#VALUE!</v>
      </c>
      <c r="R373" s="580" t="e">
        <f t="shared" si="98"/>
        <v>#VALUE!</v>
      </c>
      <c r="S373" s="580" t="e">
        <f t="shared" si="98"/>
        <v>#VALUE!</v>
      </c>
      <c r="T373" s="580" t="e">
        <f t="shared" si="98"/>
        <v>#VALUE!</v>
      </c>
      <c r="U373" s="580" t="e">
        <f t="shared" si="98"/>
        <v>#VALUE!</v>
      </c>
      <c r="V373" s="580" t="e">
        <f t="shared" si="98"/>
        <v>#VALUE!</v>
      </c>
      <c r="W373" s="580" t="e">
        <f t="shared" si="98"/>
        <v>#VALUE!</v>
      </c>
      <c r="X373" s="580" t="e">
        <f t="shared" si="98"/>
        <v>#VALUE!</v>
      </c>
      <c r="Y373" s="580" t="e">
        <f t="shared" si="98"/>
        <v>#VALUE!</v>
      </c>
      <c r="Z373" s="580" t="e">
        <f t="shared" si="98"/>
        <v>#VALUE!</v>
      </c>
      <c r="AA373" s="648" t="e">
        <f t="shared" si="98"/>
        <v>#VALUE!</v>
      </c>
    </row>
    <row r="374" spans="2:27" x14ac:dyDescent="0.25">
      <c r="B374" s="575"/>
      <c r="C374" s="38" t="s">
        <v>60</v>
      </c>
      <c r="D374" s="38"/>
      <c r="E374" s="38"/>
      <c r="F374" s="38"/>
      <c r="G374" s="649"/>
      <c r="H374" s="580">
        <v>0</v>
      </c>
      <c r="I374" s="580">
        <v>0</v>
      </c>
      <c r="J374" s="580">
        <v>0</v>
      </c>
      <c r="K374" s="580">
        <v>0</v>
      </c>
      <c r="L374" s="580">
        <v>0</v>
      </c>
      <c r="M374" s="580">
        <v>0</v>
      </c>
      <c r="N374" s="580">
        <v>0</v>
      </c>
      <c r="O374" s="580">
        <v>0</v>
      </c>
      <c r="P374" s="580">
        <v>0</v>
      </c>
      <c r="Q374" s="580">
        <v>0</v>
      </c>
      <c r="R374" s="580">
        <v>0</v>
      </c>
      <c r="S374" s="580">
        <v>0</v>
      </c>
      <c r="T374" s="580">
        <v>0</v>
      </c>
      <c r="U374" s="580">
        <v>0</v>
      </c>
      <c r="V374" s="580">
        <v>0</v>
      </c>
      <c r="W374" s="580">
        <v>0</v>
      </c>
      <c r="X374" s="580">
        <v>0</v>
      </c>
      <c r="Y374" s="580">
        <v>0</v>
      </c>
      <c r="Z374" s="580">
        <v>0</v>
      </c>
      <c r="AA374" s="648">
        <v>0</v>
      </c>
    </row>
    <row r="375" spans="2:27" x14ac:dyDescent="0.25">
      <c r="B375" s="575"/>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6"/>
    </row>
    <row r="376" spans="2:27" x14ac:dyDescent="0.25">
      <c r="B376" s="575"/>
      <c r="C376" s="38"/>
      <c r="D376" s="38"/>
      <c r="E376" s="38"/>
      <c r="F376" s="597" t="s">
        <v>61</v>
      </c>
      <c r="G376" s="597" t="s">
        <v>62</v>
      </c>
      <c r="H376" s="38"/>
      <c r="I376" s="38"/>
      <c r="J376" s="38"/>
      <c r="K376" s="38"/>
      <c r="L376" s="38"/>
      <c r="M376" s="38"/>
      <c r="N376" s="38"/>
      <c r="O376" s="38"/>
      <c r="P376" s="38"/>
      <c r="Q376" s="38"/>
      <c r="R376" s="38"/>
      <c r="S376" s="38"/>
      <c r="T376" s="38"/>
      <c r="U376" s="38"/>
      <c r="V376" s="38"/>
      <c r="W376" s="38"/>
      <c r="X376" s="38"/>
      <c r="Y376" s="38"/>
      <c r="Z376" s="38"/>
      <c r="AA376" s="576"/>
    </row>
    <row r="377" spans="2:27" x14ac:dyDescent="0.25">
      <c r="B377" s="575"/>
      <c r="C377" s="38" t="s">
        <v>57</v>
      </c>
      <c r="D377" s="38"/>
      <c r="E377" s="38"/>
      <c r="F377" s="580">
        <f>'III. Inputs, Renewable Energy'!V231</f>
        <v>0.95</v>
      </c>
      <c r="G377" s="1369">
        <f>IF('III. Inputs, Renewable Energy'!U243=0,0,('III. Inputs, Renewable Energy'!U242+('III. Inputs, Renewable Energy'!U238*'III. Inputs, Renewable Energy'!U240*'III. Inputs, Renewable Energy'!U241))*('III. Inputs, Renewable Energy'!U14/'III. Inputs, Renewable Energy'!U243)*F377)</f>
        <v>0</v>
      </c>
      <c r="H377" s="1369" t="e">
        <f>$G$377*H373</f>
        <v>#VALUE!</v>
      </c>
      <c r="I377" s="1369" t="e">
        <f t="shared" ref="I377:AA377" si="99">$G$377*I373</f>
        <v>#VALUE!</v>
      </c>
      <c r="J377" s="1369" t="e">
        <f t="shared" si="99"/>
        <v>#VALUE!</v>
      </c>
      <c r="K377" s="1369" t="e">
        <f t="shared" si="99"/>
        <v>#VALUE!</v>
      </c>
      <c r="L377" s="1369" t="e">
        <f t="shared" si="99"/>
        <v>#VALUE!</v>
      </c>
      <c r="M377" s="1369" t="e">
        <f t="shared" si="99"/>
        <v>#VALUE!</v>
      </c>
      <c r="N377" s="1369" t="e">
        <f t="shared" si="99"/>
        <v>#VALUE!</v>
      </c>
      <c r="O377" s="1369" t="e">
        <f t="shared" si="99"/>
        <v>#VALUE!</v>
      </c>
      <c r="P377" s="1369" t="e">
        <f t="shared" si="99"/>
        <v>#VALUE!</v>
      </c>
      <c r="Q377" s="1369" t="e">
        <f t="shared" si="99"/>
        <v>#VALUE!</v>
      </c>
      <c r="R377" s="1369" t="e">
        <f t="shared" si="99"/>
        <v>#VALUE!</v>
      </c>
      <c r="S377" s="1369" t="e">
        <f t="shared" si="99"/>
        <v>#VALUE!</v>
      </c>
      <c r="T377" s="1369" t="e">
        <f t="shared" si="99"/>
        <v>#VALUE!</v>
      </c>
      <c r="U377" s="1369" t="e">
        <f t="shared" si="99"/>
        <v>#VALUE!</v>
      </c>
      <c r="V377" s="1369" t="e">
        <f t="shared" si="99"/>
        <v>#VALUE!</v>
      </c>
      <c r="W377" s="1369" t="e">
        <f t="shared" si="99"/>
        <v>#VALUE!</v>
      </c>
      <c r="X377" s="1369" t="e">
        <f t="shared" si="99"/>
        <v>#VALUE!</v>
      </c>
      <c r="Y377" s="1369" t="e">
        <f t="shared" si="99"/>
        <v>#VALUE!</v>
      </c>
      <c r="Z377" s="1369" t="e">
        <f t="shared" si="99"/>
        <v>#VALUE!</v>
      </c>
      <c r="AA377" s="1372" t="e">
        <f t="shared" si="99"/>
        <v>#VALUE!</v>
      </c>
    </row>
    <row r="378" spans="2:27" x14ac:dyDescent="0.25">
      <c r="B378" s="575"/>
      <c r="C378" s="39" t="s">
        <v>18</v>
      </c>
      <c r="D378" s="39"/>
      <c r="E378" s="39"/>
      <c r="F378" s="650">
        <f>'III. Inputs, Renewable Energy'!V232</f>
        <v>0.05</v>
      </c>
      <c r="G378" s="1373">
        <f>IF('III. Inputs, Renewable Energy'!U243=0,0,('III. Inputs, Renewable Energy'!U242+('III. Inputs, Renewable Energy'!U238*'III. Inputs, Renewable Energy'!U240*'III. Inputs, Renewable Energy'!U241))*('III. Inputs, Renewable Energy'!U14/'III. Inputs, Renewable Energy'!U243)*F378)</f>
        <v>0</v>
      </c>
      <c r="H378" s="1373">
        <f>$G$378*H374</f>
        <v>0</v>
      </c>
      <c r="I378" s="1373">
        <f t="shared" ref="I378:AA378" si="100">$G$378*I374</f>
        <v>0</v>
      </c>
      <c r="J378" s="1373">
        <f t="shared" si="100"/>
        <v>0</v>
      </c>
      <c r="K378" s="1373">
        <f t="shared" si="100"/>
        <v>0</v>
      </c>
      <c r="L378" s="1373">
        <f t="shared" si="100"/>
        <v>0</v>
      </c>
      <c r="M378" s="1373">
        <f t="shared" si="100"/>
        <v>0</v>
      </c>
      <c r="N378" s="1373">
        <f t="shared" si="100"/>
        <v>0</v>
      </c>
      <c r="O378" s="1373">
        <f t="shared" si="100"/>
        <v>0</v>
      </c>
      <c r="P378" s="1373">
        <f t="shared" si="100"/>
        <v>0</v>
      </c>
      <c r="Q378" s="1373">
        <f t="shared" si="100"/>
        <v>0</v>
      </c>
      <c r="R378" s="1373">
        <f t="shared" si="100"/>
        <v>0</v>
      </c>
      <c r="S378" s="1373">
        <f t="shared" si="100"/>
        <v>0</v>
      </c>
      <c r="T378" s="1373">
        <f t="shared" si="100"/>
        <v>0</v>
      </c>
      <c r="U378" s="1373">
        <f t="shared" si="100"/>
        <v>0</v>
      </c>
      <c r="V378" s="1373">
        <f t="shared" si="100"/>
        <v>0</v>
      </c>
      <c r="W378" s="1373">
        <f t="shared" si="100"/>
        <v>0</v>
      </c>
      <c r="X378" s="1373">
        <f t="shared" si="100"/>
        <v>0</v>
      </c>
      <c r="Y378" s="1373">
        <f t="shared" si="100"/>
        <v>0</v>
      </c>
      <c r="Z378" s="1373">
        <f t="shared" si="100"/>
        <v>0</v>
      </c>
      <c r="AA378" s="1374">
        <f t="shared" si="100"/>
        <v>0</v>
      </c>
    </row>
    <row r="379" spans="2:27" x14ac:dyDescent="0.25">
      <c r="B379" s="575"/>
      <c r="C379" s="38" t="s">
        <v>63</v>
      </c>
      <c r="D379" s="38"/>
      <c r="E379" s="38"/>
      <c r="F379" s="38"/>
      <c r="G379" s="1369">
        <f>G377+G378</f>
        <v>0</v>
      </c>
      <c r="H379" s="1369" t="e">
        <f>H377+H378</f>
        <v>#VALUE!</v>
      </c>
      <c r="I379" s="1369" t="e">
        <f t="shared" ref="I379:AA379" si="101">I377+I378</f>
        <v>#VALUE!</v>
      </c>
      <c r="J379" s="1369" t="e">
        <f t="shared" si="101"/>
        <v>#VALUE!</v>
      </c>
      <c r="K379" s="1369" t="e">
        <f t="shared" si="101"/>
        <v>#VALUE!</v>
      </c>
      <c r="L379" s="1369" t="e">
        <f t="shared" si="101"/>
        <v>#VALUE!</v>
      </c>
      <c r="M379" s="1369" t="e">
        <f t="shared" si="101"/>
        <v>#VALUE!</v>
      </c>
      <c r="N379" s="1369" t="e">
        <f t="shared" si="101"/>
        <v>#VALUE!</v>
      </c>
      <c r="O379" s="1369" t="e">
        <f t="shared" si="101"/>
        <v>#VALUE!</v>
      </c>
      <c r="P379" s="1369" t="e">
        <f t="shared" si="101"/>
        <v>#VALUE!</v>
      </c>
      <c r="Q379" s="1369" t="e">
        <f t="shared" si="101"/>
        <v>#VALUE!</v>
      </c>
      <c r="R379" s="1369" t="e">
        <f t="shared" si="101"/>
        <v>#VALUE!</v>
      </c>
      <c r="S379" s="1369" t="e">
        <f t="shared" si="101"/>
        <v>#VALUE!</v>
      </c>
      <c r="T379" s="1369" t="e">
        <f t="shared" si="101"/>
        <v>#VALUE!</v>
      </c>
      <c r="U379" s="1369" t="e">
        <f t="shared" si="101"/>
        <v>#VALUE!</v>
      </c>
      <c r="V379" s="1369" t="e">
        <f t="shared" si="101"/>
        <v>#VALUE!</v>
      </c>
      <c r="W379" s="1369" t="e">
        <f t="shared" si="101"/>
        <v>#VALUE!</v>
      </c>
      <c r="X379" s="1369" t="e">
        <f t="shared" si="101"/>
        <v>#VALUE!</v>
      </c>
      <c r="Y379" s="1369" t="e">
        <f t="shared" si="101"/>
        <v>#VALUE!</v>
      </c>
      <c r="Z379" s="1369" t="e">
        <f t="shared" si="101"/>
        <v>#VALUE!</v>
      </c>
      <c r="AA379" s="1372" t="e">
        <f t="shared" si="101"/>
        <v>#VALUE!</v>
      </c>
    </row>
    <row r="380" spans="2:27" x14ac:dyDescent="0.25">
      <c r="B380" s="575"/>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6"/>
    </row>
    <row r="381" spans="2:27" ht="13.8" thickBot="1" x14ac:dyDescent="0.3">
      <c r="B381" s="598"/>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2"/>
    </row>
    <row r="382" spans="2:27" x14ac:dyDescent="0.25">
      <c r="F382" s="682"/>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zoomScale="85" zoomScaleNormal="85" zoomScalePageLayoutView="85" workbookViewId="0"/>
  </sheetViews>
  <sheetFormatPr defaultColWidth="0" defaultRowHeight="13.2" zeroHeight="1" x14ac:dyDescent="0.25"/>
  <cols>
    <col min="1" max="2" width="2.44140625" style="57" customWidth="1"/>
    <col min="3" max="3" width="8" style="57" customWidth="1"/>
    <col min="4" max="4" width="9.6640625" style="57" bestFit="1" customWidth="1"/>
    <col min="5" max="22" width="9.109375" style="57" customWidth="1"/>
    <col min="23" max="23" width="1.6640625" style="57" customWidth="1"/>
    <col min="24" max="29" width="1.6640625" style="57" hidden="1" customWidth="1"/>
    <col min="30" max="16384" width="0" style="57" hidden="1"/>
  </cols>
  <sheetData>
    <row r="1" spans="1:22" x14ac:dyDescent="0.25">
      <c r="A1" s="1465" t="s">
        <v>639</v>
      </c>
      <c r="B1" s="779"/>
    </row>
    <row r="2" spans="1:22" x14ac:dyDescent="0.25">
      <c r="A2" s="779"/>
      <c r="B2" s="779"/>
    </row>
    <row r="3" spans="1:22" x14ac:dyDescent="0.25">
      <c r="A3" s="780" t="s">
        <v>556</v>
      </c>
      <c r="B3" s="780"/>
      <c r="C3" s="780"/>
      <c r="D3" s="780"/>
      <c r="E3" s="780"/>
      <c r="F3" s="780"/>
      <c r="G3" s="780"/>
      <c r="H3" s="780"/>
      <c r="I3" s="780"/>
      <c r="J3" s="780"/>
      <c r="K3" s="780"/>
      <c r="L3" s="791"/>
      <c r="M3" s="791"/>
      <c r="N3" s="781"/>
      <c r="O3" s="781"/>
      <c r="P3" s="791"/>
      <c r="Q3" s="791"/>
      <c r="R3" s="791"/>
      <c r="S3" s="791"/>
      <c r="T3" s="791"/>
      <c r="U3" s="791"/>
      <c r="V3" s="791"/>
    </row>
    <row r="4" spans="1:22" s="146" customFormat="1" ht="3" customHeight="1" x14ac:dyDescent="0.25">
      <c r="R4" s="784"/>
      <c r="S4" s="784"/>
      <c r="T4" s="784"/>
    </row>
    <row r="5" spans="1:22" s="146" customFormat="1" ht="12.75" customHeight="1" x14ac:dyDescent="0.25">
      <c r="R5" s="784"/>
      <c r="S5" s="784"/>
      <c r="T5" s="784"/>
    </row>
    <row r="6" spans="1:22" s="146" customFormat="1" ht="12.75" customHeight="1" x14ac:dyDescent="0.25">
      <c r="B6" s="146" t="s">
        <v>194</v>
      </c>
      <c r="U6" s="792"/>
    </row>
    <row r="7" spans="1:22" s="146" customFormat="1" ht="12.75" customHeight="1" x14ac:dyDescent="0.25">
      <c r="C7" s="146" t="s">
        <v>335</v>
      </c>
      <c r="U7" s="793"/>
    </row>
    <row r="8" spans="1:22" s="146" customFormat="1" ht="12.75" customHeight="1" x14ac:dyDescent="0.25">
      <c r="C8" s="146" t="s">
        <v>336</v>
      </c>
      <c r="U8" s="793"/>
    </row>
    <row r="9" spans="1:22" s="146" customFormat="1" ht="12.75" customHeight="1" x14ac:dyDescent="0.25">
      <c r="U9" s="792"/>
    </row>
    <row r="10" spans="1:22" s="146" customFormat="1" x14ac:dyDescent="0.25">
      <c r="R10" s="784"/>
      <c r="S10" s="784"/>
      <c r="T10" s="784"/>
    </row>
    <row r="11" spans="1:22" x14ac:dyDescent="0.25">
      <c r="A11" s="782" t="s">
        <v>265</v>
      </c>
      <c r="B11" s="782"/>
      <c r="C11" s="782"/>
      <c r="D11" s="782"/>
      <c r="E11" s="782"/>
      <c r="F11" s="782"/>
      <c r="G11" s="782"/>
      <c r="H11" s="782"/>
      <c r="I11" s="782"/>
      <c r="J11" s="782"/>
      <c r="K11" s="785"/>
      <c r="L11" s="783"/>
      <c r="M11" s="783"/>
      <c r="N11" s="783"/>
      <c r="O11" s="783"/>
      <c r="P11" s="783"/>
      <c r="Q11" s="783"/>
      <c r="R11" s="783"/>
      <c r="S11" s="783"/>
      <c r="T11" s="783"/>
      <c r="U11" s="783"/>
      <c r="V11" s="783"/>
    </row>
    <row r="12" spans="1:22" x14ac:dyDescent="0.25"/>
    <row r="13" spans="1:22" x14ac:dyDescent="0.25">
      <c r="E13" s="1651" t="s">
        <v>157</v>
      </c>
      <c r="F13" s="1794"/>
      <c r="G13" s="1794"/>
      <c r="H13" s="1794"/>
      <c r="I13" s="1794"/>
      <c r="J13" s="1652"/>
      <c r="K13" s="1651" t="s">
        <v>158</v>
      </c>
      <c r="L13" s="1794"/>
      <c r="M13" s="1794"/>
      <c r="N13" s="1794"/>
      <c r="O13" s="1794"/>
      <c r="P13" s="1652"/>
      <c r="Q13" s="1964" t="s">
        <v>173</v>
      </c>
      <c r="R13" s="1965"/>
      <c r="S13" s="1965"/>
      <c r="T13" s="1965"/>
      <c r="U13" s="1965"/>
      <c r="V13" s="1966"/>
    </row>
    <row r="14" spans="1:22" ht="39.6" x14ac:dyDescent="0.25">
      <c r="C14" s="988" t="s">
        <v>91</v>
      </c>
      <c r="D14" s="988" t="s">
        <v>58</v>
      </c>
      <c r="E14" s="989" t="s">
        <v>92</v>
      </c>
      <c r="F14" s="990" t="s">
        <v>95</v>
      </c>
      <c r="G14" s="991" t="s">
        <v>31</v>
      </c>
      <c r="H14" s="992" t="s">
        <v>93</v>
      </c>
      <c r="I14" s="993" t="s">
        <v>94</v>
      </c>
      <c r="J14" s="994" t="s">
        <v>332</v>
      </c>
      <c r="K14" s="989" t="s">
        <v>92</v>
      </c>
      <c r="L14" s="990" t="s">
        <v>95</v>
      </c>
      <c r="M14" s="991" t="s">
        <v>31</v>
      </c>
      <c r="N14" s="992" t="s">
        <v>93</v>
      </c>
      <c r="O14" s="993" t="s">
        <v>94</v>
      </c>
      <c r="P14" s="994" t="s">
        <v>332</v>
      </c>
      <c r="Q14" s="989" t="s">
        <v>92</v>
      </c>
      <c r="R14" s="990" t="s">
        <v>95</v>
      </c>
      <c r="S14" s="991" t="s">
        <v>31</v>
      </c>
      <c r="T14" s="992" t="s">
        <v>93</v>
      </c>
      <c r="U14" s="993" t="s">
        <v>94</v>
      </c>
      <c r="V14" s="994" t="s">
        <v>332</v>
      </c>
    </row>
    <row r="15" spans="1:22" x14ac:dyDescent="0.25">
      <c r="C15" s="995"/>
      <c r="D15" s="995"/>
      <c r="E15" s="996"/>
      <c r="F15" s="997"/>
      <c r="G15" s="998"/>
      <c r="H15" s="999"/>
      <c r="I15" s="1000"/>
      <c r="J15" s="1001"/>
      <c r="K15" s="996"/>
      <c r="L15" s="997"/>
      <c r="M15" s="998"/>
      <c r="N15" s="999"/>
      <c r="O15" s="1000"/>
      <c r="P15" s="1002"/>
      <c r="Q15" s="996"/>
      <c r="R15" s="997"/>
      <c r="S15" s="998"/>
      <c r="T15" s="999"/>
      <c r="U15" s="1000"/>
      <c r="V15" s="1001"/>
    </row>
    <row r="16" spans="1:22" x14ac:dyDescent="0.25">
      <c r="C16" s="1003"/>
      <c r="D16" s="1003"/>
      <c r="E16" s="1004"/>
      <c r="F16" s="1005"/>
      <c r="G16" s="1006"/>
      <c r="H16" s="1007"/>
      <c r="I16" s="1008"/>
      <c r="J16" s="1001"/>
      <c r="K16" s="1004"/>
      <c r="L16" s="1005"/>
      <c r="M16" s="1006"/>
      <c r="N16" s="1007"/>
      <c r="O16" s="1008"/>
      <c r="P16" s="1009"/>
      <c r="Q16" s="1011" t="s">
        <v>154</v>
      </c>
      <c r="R16" s="1005"/>
      <c r="S16" s="1006"/>
      <c r="T16" s="1007"/>
      <c r="U16" s="1008"/>
      <c r="V16" s="1001"/>
    </row>
    <row r="17" spans="3:22" x14ac:dyDescent="0.25">
      <c r="C17" s="1010">
        <v>1</v>
      </c>
      <c r="D17" s="1010">
        <v>2014</v>
      </c>
      <c r="E17" s="1011">
        <v>12.84051251593011</v>
      </c>
      <c r="F17" s="1012">
        <v>11.693231398016538</v>
      </c>
      <c r="G17" s="1013">
        <v>0</v>
      </c>
      <c r="H17" s="1014">
        <v>81.367551370241216</v>
      </c>
      <c r="I17" s="1015">
        <v>57.095034246827481</v>
      </c>
      <c r="J17" s="1016">
        <v>0</v>
      </c>
      <c r="K17" s="1011">
        <f>'II. Inputs, Baseline Energy Mix'!$N$101*'VII. Additional Data'!C17+'II. Inputs, Baseline Energy Mix'!$N$102</f>
        <v>0</v>
      </c>
      <c r="L17" s="1012">
        <f>'II. Inputs, Baseline Energy Mix'!$O$101*'VII. Additional Data'!C17+'II. Inputs, Baseline Energy Mix'!$O$102</f>
        <v>0</v>
      </c>
      <c r="M17" s="1013">
        <f>'II. Inputs, Baseline Energy Mix'!$P$101*'VII. Additional Data'!C17+'II. Inputs, Baseline Energy Mix'!$P$102</f>
        <v>0</v>
      </c>
      <c r="N17" s="1014">
        <f>'II. Inputs, Baseline Energy Mix'!$Q$101*'VII. Additional Data'!C17+'II. Inputs, Baseline Energy Mix'!$Q$102</f>
        <v>0</v>
      </c>
      <c r="O17" s="1015">
        <f>'II. Inputs, Baseline Energy Mix'!$R$101*'VII. Additional Data'!C17+'II. Inputs, Baseline Energy Mix'!$R$102</f>
        <v>0</v>
      </c>
      <c r="P17" s="1017">
        <f>'II. Inputs, Baseline Energy Mix'!$S$101*'VII. Additional Data'!C17+'II. Inputs, Baseline Energy Mix'!$S$102</f>
        <v>0</v>
      </c>
      <c r="Q17" s="1040">
        <v>12.84051251593011</v>
      </c>
      <c r="R17" s="1041">
        <v>11.826462796033075</v>
      </c>
      <c r="S17" s="1042">
        <v>0</v>
      </c>
      <c r="T17" s="1043">
        <f>H17*0.8</f>
        <v>65.094041096192981</v>
      </c>
      <c r="U17" s="1044">
        <v>58.300068493654962</v>
      </c>
      <c r="V17" s="1045">
        <v>0</v>
      </c>
    </row>
    <row r="18" spans="3:22" x14ac:dyDescent="0.25">
      <c r="C18" s="1010">
        <f t="shared" ref="C18:D49" si="0">C17+1</f>
        <v>2</v>
      </c>
      <c r="D18" s="1010">
        <f>D17+1</f>
        <v>2015</v>
      </c>
      <c r="E18" s="1011">
        <v>14.145768773895165</v>
      </c>
      <c r="F18" s="1012">
        <v>11.826462796033075</v>
      </c>
      <c r="G18" s="1013">
        <v>0</v>
      </c>
      <c r="H18" s="1014">
        <v>83.175102740482444</v>
      </c>
      <c r="I18" s="1015">
        <v>58.300068493654962</v>
      </c>
      <c r="J18" s="1016">
        <v>0</v>
      </c>
      <c r="K18" s="1011">
        <f>'II. Inputs, Baseline Energy Mix'!$N$101*'VII. Additional Data'!C18+'II. Inputs, Baseline Energy Mix'!$N$102</f>
        <v>0</v>
      </c>
      <c r="L18" s="1012">
        <f>'II. Inputs, Baseline Energy Mix'!$O$101*'VII. Additional Data'!C18+'II. Inputs, Baseline Energy Mix'!$O$102</f>
        <v>0</v>
      </c>
      <c r="M18" s="1013">
        <f>'II. Inputs, Baseline Energy Mix'!$P$101*'VII. Additional Data'!C18+'II. Inputs, Baseline Energy Mix'!$P$102</f>
        <v>0</v>
      </c>
      <c r="N18" s="1014">
        <f>'II. Inputs, Baseline Energy Mix'!$Q$101*'VII. Additional Data'!C18+'II. Inputs, Baseline Energy Mix'!$Q$102</f>
        <v>0</v>
      </c>
      <c r="O18" s="1015">
        <f>'II. Inputs, Baseline Energy Mix'!$R$101*'VII. Additional Data'!C18+'II. Inputs, Baseline Energy Mix'!$R$102</f>
        <v>0</v>
      </c>
      <c r="P18" s="1017">
        <f>'II. Inputs, Baseline Energy Mix'!$S$101*'VII. Additional Data'!C18+'II. Inputs, Baseline Energy Mix'!$S$102</f>
        <v>0</v>
      </c>
      <c r="Q18" s="1040">
        <v>14.145768773895165</v>
      </c>
      <c r="R18" s="1041">
        <v>11.959694194049613</v>
      </c>
      <c r="S18" s="1042">
        <v>0</v>
      </c>
      <c r="T18" s="1043">
        <f t="shared" ref="T18:T56" si="1">H18*0.8</f>
        <v>66.540082192385952</v>
      </c>
      <c r="U18" s="1044">
        <v>59.505102740482442</v>
      </c>
      <c r="V18" s="1045">
        <v>0</v>
      </c>
    </row>
    <row r="19" spans="3:22" x14ac:dyDescent="0.25">
      <c r="C19" s="1010">
        <f t="shared" si="0"/>
        <v>3</v>
      </c>
      <c r="D19" s="1010">
        <f t="shared" si="0"/>
        <v>2016</v>
      </c>
      <c r="E19" s="1011">
        <v>15.451025031860219</v>
      </c>
      <c r="F19" s="1012">
        <v>11.959694194049613</v>
      </c>
      <c r="G19" s="1013">
        <v>0</v>
      </c>
      <c r="H19" s="1014">
        <v>84.982654110723658</v>
      </c>
      <c r="I19" s="1015">
        <v>59.505102740482442</v>
      </c>
      <c r="J19" s="1016">
        <v>0</v>
      </c>
      <c r="K19" s="1011">
        <f>'II. Inputs, Baseline Energy Mix'!$N$101*'VII. Additional Data'!C19+'II. Inputs, Baseline Energy Mix'!$N$102</f>
        <v>0</v>
      </c>
      <c r="L19" s="1012">
        <f>'II. Inputs, Baseline Energy Mix'!$O$101*'VII. Additional Data'!C19+'II. Inputs, Baseline Energy Mix'!$O$102</f>
        <v>0</v>
      </c>
      <c r="M19" s="1013">
        <f>'II. Inputs, Baseline Energy Mix'!$P$101*'VII. Additional Data'!C19+'II. Inputs, Baseline Energy Mix'!$P$102</f>
        <v>0</v>
      </c>
      <c r="N19" s="1014">
        <f>'II. Inputs, Baseline Energy Mix'!$Q$101*'VII. Additional Data'!C19+'II. Inputs, Baseline Energy Mix'!$Q$102</f>
        <v>0</v>
      </c>
      <c r="O19" s="1015">
        <f>'II. Inputs, Baseline Energy Mix'!$R$101*'VII. Additional Data'!C19+'II. Inputs, Baseline Energy Mix'!$R$102</f>
        <v>0</v>
      </c>
      <c r="P19" s="1017">
        <f>'II. Inputs, Baseline Energy Mix'!$S$101*'VII. Additional Data'!C19+'II. Inputs, Baseline Energy Mix'!$S$102</f>
        <v>0</v>
      </c>
      <c r="Q19" s="1040">
        <v>15.451025031860219</v>
      </c>
      <c r="R19" s="1041">
        <v>12.09292559206615</v>
      </c>
      <c r="S19" s="1042">
        <v>0</v>
      </c>
      <c r="T19" s="1043">
        <f t="shared" si="1"/>
        <v>67.986123288578924</v>
      </c>
      <c r="U19" s="1044">
        <v>60.710136987309916</v>
      </c>
      <c r="V19" s="1045">
        <v>0</v>
      </c>
    </row>
    <row r="20" spans="3:22" x14ac:dyDescent="0.25">
      <c r="C20" s="1010">
        <f t="shared" si="0"/>
        <v>4</v>
      </c>
      <c r="D20" s="1010">
        <f t="shared" si="0"/>
        <v>2017</v>
      </c>
      <c r="E20" s="1011">
        <v>16.756281289825274</v>
      </c>
      <c r="F20" s="1012">
        <v>12.09292559206615</v>
      </c>
      <c r="G20" s="1013">
        <v>0</v>
      </c>
      <c r="H20" s="1014">
        <v>86.790205480964886</v>
      </c>
      <c r="I20" s="1015">
        <v>60.710136987309916</v>
      </c>
      <c r="J20" s="1016">
        <v>0</v>
      </c>
      <c r="K20" s="1011">
        <f>'II. Inputs, Baseline Energy Mix'!$N$101*'VII. Additional Data'!C20+'II. Inputs, Baseline Energy Mix'!$N$102</f>
        <v>0</v>
      </c>
      <c r="L20" s="1012">
        <f>'II. Inputs, Baseline Energy Mix'!$O$101*'VII. Additional Data'!C20+'II. Inputs, Baseline Energy Mix'!$O$102</f>
        <v>0</v>
      </c>
      <c r="M20" s="1013">
        <f>'II. Inputs, Baseline Energy Mix'!$P$101*'VII. Additional Data'!C20+'II. Inputs, Baseline Energy Mix'!$P$102</f>
        <v>0</v>
      </c>
      <c r="N20" s="1014">
        <f>'II. Inputs, Baseline Energy Mix'!$Q$101*'VII. Additional Data'!C20+'II. Inputs, Baseline Energy Mix'!$Q$102</f>
        <v>0</v>
      </c>
      <c r="O20" s="1015">
        <f>'II. Inputs, Baseline Energy Mix'!$R$101*'VII. Additional Data'!C20+'II. Inputs, Baseline Energy Mix'!$R$102</f>
        <v>0</v>
      </c>
      <c r="P20" s="1017">
        <f>'II. Inputs, Baseline Energy Mix'!$S$101*'VII. Additional Data'!C20+'II. Inputs, Baseline Energy Mix'!$S$102</f>
        <v>0</v>
      </c>
      <c r="Q20" s="1040">
        <v>16.756281289825274</v>
      </c>
      <c r="R20" s="1041">
        <v>12.226156990082687</v>
      </c>
      <c r="S20" s="1042">
        <v>0</v>
      </c>
      <c r="T20" s="1043">
        <f t="shared" si="1"/>
        <v>69.432164384771909</v>
      </c>
      <c r="U20" s="1044">
        <v>61.915171234137397</v>
      </c>
      <c r="V20" s="1045">
        <v>0</v>
      </c>
    </row>
    <row r="21" spans="3:22" x14ac:dyDescent="0.25">
      <c r="C21" s="1010">
        <f t="shared" si="0"/>
        <v>5</v>
      </c>
      <c r="D21" s="1010">
        <f t="shared" si="0"/>
        <v>2018</v>
      </c>
      <c r="E21" s="1011">
        <v>18.06153754779033</v>
      </c>
      <c r="F21" s="1012">
        <v>12.226156990082687</v>
      </c>
      <c r="G21" s="1013">
        <v>0</v>
      </c>
      <c r="H21" s="1014">
        <v>88.5977568512061</v>
      </c>
      <c r="I21" s="1015">
        <v>61.915171234137397</v>
      </c>
      <c r="J21" s="1016">
        <v>0</v>
      </c>
      <c r="K21" s="1011">
        <f>'II. Inputs, Baseline Energy Mix'!$N$101*'VII. Additional Data'!C21+'II. Inputs, Baseline Energy Mix'!$N$102</f>
        <v>0</v>
      </c>
      <c r="L21" s="1012">
        <f>'II. Inputs, Baseline Energy Mix'!$O$101*'VII. Additional Data'!C21+'II. Inputs, Baseline Energy Mix'!$O$102</f>
        <v>0</v>
      </c>
      <c r="M21" s="1013">
        <f>'II. Inputs, Baseline Energy Mix'!$P$101*'VII. Additional Data'!C21+'II. Inputs, Baseline Energy Mix'!$P$102</f>
        <v>0</v>
      </c>
      <c r="N21" s="1014">
        <f>'II. Inputs, Baseline Energy Mix'!$Q$101*'VII. Additional Data'!C21+'II. Inputs, Baseline Energy Mix'!$Q$102</f>
        <v>0</v>
      </c>
      <c r="O21" s="1015">
        <f>'II. Inputs, Baseline Energy Mix'!$R$101*'VII. Additional Data'!C21+'II. Inputs, Baseline Energy Mix'!$R$102</f>
        <v>0</v>
      </c>
      <c r="P21" s="1017">
        <f>'II. Inputs, Baseline Energy Mix'!$S$101*'VII. Additional Data'!C21+'II. Inputs, Baseline Energy Mix'!$S$102</f>
        <v>0</v>
      </c>
      <c r="Q21" s="1040">
        <v>18.06153754779033</v>
      </c>
      <c r="R21" s="1041">
        <v>12.359388388099225</v>
      </c>
      <c r="S21" s="1042">
        <v>0</v>
      </c>
      <c r="T21" s="1043">
        <f t="shared" si="1"/>
        <v>70.87820548096488</v>
      </c>
      <c r="U21" s="1044">
        <v>63.120205480964877</v>
      </c>
      <c r="V21" s="1045">
        <v>0</v>
      </c>
    </row>
    <row r="22" spans="3:22" x14ac:dyDescent="0.25">
      <c r="C22" s="1010">
        <f t="shared" si="0"/>
        <v>6</v>
      </c>
      <c r="D22" s="1010">
        <f t="shared" si="0"/>
        <v>2019</v>
      </c>
      <c r="E22" s="1011">
        <v>19.366793805755385</v>
      </c>
      <c r="F22" s="1012">
        <v>12.359388388099225</v>
      </c>
      <c r="G22" s="1013">
        <v>0</v>
      </c>
      <c r="H22" s="1014">
        <v>90.405308221447314</v>
      </c>
      <c r="I22" s="1015">
        <v>63.120205480964877</v>
      </c>
      <c r="J22" s="1016">
        <v>0</v>
      </c>
      <c r="K22" s="1011">
        <f>'II. Inputs, Baseline Energy Mix'!$N$101*'VII. Additional Data'!C22+'II. Inputs, Baseline Energy Mix'!$N$102</f>
        <v>0</v>
      </c>
      <c r="L22" s="1012">
        <f>'II. Inputs, Baseline Energy Mix'!$O$101*'VII. Additional Data'!C22+'II. Inputs, Baseline Energy Mix'!$O$102</f>
        <v>0</v>
      </c>
      <c r="M22" s="1013">
        <f>'II. Inputs, Baseline Energy Mix'!$P$101*'VII. Additional Data'!C22+'II. Inputs, Baseline Energy Mix'!$P$102</f>
        <v>0</v>
      </c>
      <c r="N22" s="1014">
        <f>'II. Inputs, Baseline Energy Mix'!$Q$101*'VII. Additional Data'!C22+'II. Inputs, Baseline Energy Mix'!$Q$102</f>
        <v>0</v>
      </c>
      <c r="O22" s="1015">
        <f>'II. Inputs, Baseline Energy Mix'!$R$101*'VII. Additional Data'!C22+'II. Inputs, Baseline Energy Mix'!$R$102</f>
        <v>0</v>
      </c>
      <c r="P22" s="1017">
        <f>'II. Inputs, Baseline Energy Mix'!$S$101*'VII. Additional Data'!C22+'II. Inputs, Baseline Energy Mix'!$S$102</f>
        <v>0</v>
      </c>
      <c r="Q22" s="1040">
        <v>19.366793805755385</v>
      </c>
      <c r="R22" s="1041">
        <v>12.492619786115762</v>
      </c>
      <c r="S22" s="1042">
        <v>0</v>
      </c>
      <c r="T22" s="1043">
        <f t="shared" si="1"/>
        <v>72.324246577157851</v>
      </c>
      <c r="U22" s="1044">
        <v>64.325239727792365</v>
      </c>
      <c r="V22" s="1045">
        <v>0</v>
      </c>
    </row>
    <row r="23" spans="3:22" x14ac:dyDescent="0.25">
      <c r="C23" s="1010">
        <f t="shared" si="0"/>
        <v>7</v>
      </c>
      <c r="D23" s="1010">
        <f t="shared" si="0"/>
        <v>2020</v>
      </c>
      <c r="E23" s="1011">
        <v>20.672050063720441</v>
      </c>
      <c r="F23" s="1012">
        <v>12.492619786115762</v>
      </c>
      <c r="G23" s="1013">
        <v>0</v>
      </c>
      <c r="H23" s="1014">
        <v>92.212859591688542</v>
      </c>
      <c r="I23" s="1015">
        <v>64.325239727792365</v>
      </c>
      <c r="J23" s="1016">
        <v>0</v>
      </c>
      <c r="K23" s="1011">
        <f>'II. Inputs, Baseline Energy Mix'!$N$101*'VII. Additional Data'!C23+'II. Inputs, Baseline Energy Mix'!$N$102</f>
        <v>0</v>
      </c>
      <c r="L23" s="1012">
        <f>'II. Inputs, Baseline Energy Mix'!$O$101*'VII. Additional Data'!C23+'II. Inputs, Baseline Energy Mix'!$O$102</f>
        <v>0</v>
      </c>
      <c r="M23" s="1013">
        <f>'II. Inputs, Baseline Energy Mix'!$P$101*'VII. Additional Data'!C23+'II. Inputs, Baseline Energy Mix'!$P$102</f>
        <v>0</v>
      </c>
      <c r="N23" s="1014">
        <f>'II. Inputs, Baseline Energy Mix'!$Q$101*'VII. Additional Data'!C23+'II. Inputs, Baseline Energy Mix'!$Q$102</f>
        <v>0</v>
      </c>
      <c r="O23" s="1015">
        <f>'II. Inputs, Baseline Energy Mix'!$R$101*'VII. Additional Data'!C23+'II. Inputs, Baseline Energy Mix'!$R$102</f>
        <v>0</v>
      </c>
      <c r="P23" s="1017">
        <f>'II. Inputs, Baseline Energy Mix'!$S$101*'VII. Additional Data'!C23+'II. Inputs, Baseline Energy Mix'!$S$102</f>
        <v>0</v>
      </c>
      <c r="Q23" s="1040">
        <v>20.672050063720441</v>
      </c>
      <c r="R23" s="1041">
        <v>12.6258511841323</v>
      </c>
      <c r="S23" s="1042">
        <v>0</v>
      </c>
      <c r="T23" s="1043">
        <f t="shared" si="1"/>
        <v>73.770287673350836</v>
      </c>
      <c r="U23" s="1044">
        <v>65.530273974619831</v>
      </c>
      <c r="V23" s="1045">
        <v>0</v>
      </c>
    </row>
    <row r="24" spans="3:22" x14ac:dyDescent="0.25">
      <c r="C24" s="1010">
        <f t="shared" si="0"/>
        <v>8</v>
      </c>
      <c r="D24" s="1010">
        <f t="shared" si="0"/>
        <v>2021</v>
      </c>
      <c r="E24" s="1011">
        <v>21.977306321685496</v>
      </c>
      <c r="F24" s="1012">
        <v>12.6258511841323</v>
      </c>
      <c r="G24" s="1013">
        <v>0</v>
      </c>
      <c r="H24" s="1014">
        <v>94.020410961929755</v>
      </c>
      <c r="I24" s="1015">
        <v>65.530273974619831</v>
      </c>
      <c r="J24" s="1016">
        <v>0</v>
      </c>
      <c r="K24" s="1011">
        <f>'II. Inputs, Baseline Energy Mix'!$N$101*'VII. Additional Data'!C24+'II. Inputs, Baseline Energy Mix'!$N$102</f>
        <v>0</v>
      </c>
      <c r="L24" s="1012">
        <f>'II. Inputs, Baseline Energy Mix'!$O$101*'VII. Additional Data'!C24+'II. Inputs, Baseline Energy Mix'!$O$102</f>
        <v>0</v>
      </c>
      <c r="M24" s="1013">
        <f>'II. Inputs, Baseline Energy Mix'!$P$101*'VII. Additional Data'!C24+'II. Inputs, Baseline Energy Mix'!$P$102</f>
        <v>0</v>
      </c>
      <c r="N24" s="1014">
        <f>'II. Inputs, Baseline Energy Mix'!$Q$101*'VII. Additional Data'!C24+'II. Inputs, Baseline Energy Mix'!$Q$102</f>
        <v>0</v>
      </c>
      <c r="O24" s="1015">
        <f>'II. Inputs, Baseline Energy Mix'!$R$101*'VII. Additional Data'!C24+'II. Inputs, Baseline Energy Mix'!$R$102</f>
        <v>0</v>
      </c>
      <c r="P24" s="1017">
        <f>'II. Inputs, Baseline Energy Mix'!$S$101*'VII. Additional Data'!C24+'II. Inputs, Baseline Energy Mix'!$S$102</f>
        <v>0</v>
      </c>
      <c r="Q24" s="1040">
        <v>21.977306321685496</v>
      </c>
      <c r="R24" s="1041">
        <v>12.759082582148837</v>
      </c>
      <c r="S24" s="1042">
        <v>0</v>
      </c>
      <c r="T24" s="1043">
        <f t="shared" si="1"/>
        <v>75.216328769543807</v>
      </c>
      <c r="U24" s="1044">
        <v>66.735308221447312</v>
      </c>
      <c r="V24" s="1045">
        <v>0</v>
      </c>
    </row>
    <row r="25" spans="3:22" x14ac:dyDescent="0.25">
      <c r="C25" s="1010">
        <f t="shared" si="0"/>
        <v>9</v>
      </c>
      <c r="D25" s="1010">
        <f t="shared" si="0"/>
        <v>2022</v>
      </c>
      <c r="E25" s="1011">
        <v>23.282562579650548</v>
      </c>
      <c r="F25" s="1012">
        <v>12.759082582148837</v>
      </c>
      <c r="G25" s="1013">
        <v>0</v>
      </c>
      <c r="H25" s="1014">
        <v>95.827962332170983</v>
      </c>
      <c r="I25" s="1015">
        <v>66.735308221447312</v>
      </c>
      <c r="J25" s="1016">
        <v>0</v>
      </c>
      <c r="K25" s="1011">
        <f>'II. Inputs, Baseline Energy Mix'!$N$101*'VII. Additional Data'!C25+'II. Inputs, Baseline Energy Mix'!$N$102</f>
        <v>0</v>
      </c>
      <c r="L25" s="1012">
        <f>'II. Inputs, Baseline Energy Mix'!$O$101*'VII. Additional Data'!C25+'II. Inputs, Baseline Energy Mix'!$O$102</f>
        <v>0</v>
      </c>
      <c r="M25" s="1013">
        <f>'II. Inputs, Baseline Energy Mix'!$P$101*'VII. Additional Data'!C25+'II. Inputs, Baseline Energy Mix'!$P$102</f>
        <v>0</v>
      </c>
      <c r="N25" s="1014">
        <f>'II. Inputs, Baseline Energy Mix'!$Q$101*'VII. Additional Data'!C25+'II. Inputs, Baseline Energy Mix'!$Q$102</f>
        <v>0</v>
      </c>
      <c r="O25" s="1015">
        <f>'II. Inputs, Baseline Energy Mix'!$R$101*'VII. Additional Data'!C25+'II. Inputs, Baseline Energy Mix'!$R$102</f>
        <v>0</v>
      </c>
      <c r="P25" s="1017">
        <f>'II. Inputs, Baseline Energy Mix'!$S$101*'VII. Additional Data'!C25+'II. Inputs, Baseline Energy Mix'!$S$102</f>
        <v>0</v>
      </c>
      <c r="Q25" s="1040">
        <v>23.282562579650548</v>
      </c>
      <c r="R25" s="1041">
        <v>12.892313980165374</v>
      </c>
      <c r="S25" s="1042">
        <v>0</v>
      </c>
      <c r="T25" s="1043">
        <f t="shared" si="1"/>
        <v>76.662369865736792</v>
      </c>
      <c r="U25" s="1044">
        <v>67.940342468274793</v>
      </c>
      <c r="V25" s="1045">
        <v>0</v>
      </c>
    </row>
    <row r="26" spans="3:22" x14ac:dyDescent="0.25">
      <c r="C26" s="1010">
        <f t="shared" si="0"/>
        <v>10</v>
      </c>
      <c r="D26" s="1010">
        <f t="shared" si="0"/>
        <v>2023</v>
      </c>
      <c r="E26" s="1011">
        <v>24.587818837615604</v>
      </c>
      <c r="F26" s="1012">
        <v>12.892313980165374</v>
      </c>
      <c r="G26" s="1013">
        <v>0</v>
      </c>
      <c r="H26" s="1014">
        <v>97.635513702412197</v>
      </c>
      <c r="I26" s="1015">
        <v>67.940342468274793</v>
      </c>
      <c r="J26" s="1016">
        <v>0</v>
      </c>
      <c r="K26" s="1011">
        <f>'II. Inputs, Baseline Energy Mix'!$N$101*'VII. Additional Data'!C26+'II. Inputs, Baseline Energy Mix'!$N$102</f>
        <v>0</v>
      </c>
      <c r="L26" s="1012">
        <f>'II. Inputs, Baseline Energy Mix'!$O$101*'VII. Additional Data'!C26+'II. Inputs, Baseline Energy Mix'!$O$102</f>
        <v>0</v>
      </c>
      <c r="M26" s="1013">
        <f>'II. Inputs, Baseline Energy Mix'!$P$101*'VII. Additional Data'!C26+'II. Inputs, Baseline Energy Mix'!$P$102</f>
        <v>0</v>
      </c>
      <c r="N26" s="1014">
        <f>'II. Inputs, Baseline Energy Mix'!$Q$101*'VII. Additional Data'!C26+'II. Inputs, Baseline Energy Mix'!$Q$102</f>
        <v>0</v>
      </c>
      <c r="O26" s="1015">
        <f>'II. Inputs, Baseline Energy Mix'!$R$101*'VII. Additional Data'!C26+'II. Inputs, Baseline Energy Mix'!$R$102</f>
        <v>0</v>
      </c>
      <c r="P26" s="1017">
        <f>'II. Inputs, Baseline Energy Mix'!$S$101*'VII. Additional Data'!C26+'II. Inputs, Baseline Energy Mix'!$S$102</f>
        <v>0</v>
      </c>
      <c r="Q26" s="1040">
        <v>24.587818837615604</v>
      </c>
      <c r="R26" s="1041">
        <v>13.025545378181912</v>
      </c>
      <c r="S26" s="1042">
        <v>0</v>
      </c>
      <c r="T26" s="1043">
        <f t="shared" si="1"/>
        <v>78.108410961929764</v>
      </c>
      <c r="U26" s="1044">
        <v>69.145376715102273</v>
      </c>
      <c r="V26" s="1045">
        <v>0</v>
      </c>
    </row>
    <row r="27" spans="3:22" x14ac:dyDescent="0.25">
      <c r="C27" s="1010">
        <f t="shared" si="0"/>
        <v>11</v>
      </c>
      <c r="D27" s="1010">
        <f t="shared" si="0"/>
        <v>2024</v>
      </c>
      <c r="E27" s="1011">
        <v>25.893075095580659</v>
      </c>
      <c r="F27" s="1012">
        <v>13.025545378181912</v>
      </c>
      <c r="G27" s="1013">
        <v>0</v>
      </c>
      <c r="H27" s="1014">
        <v>99.443065072653411</v>
      </c>
      <c r="I27" s="1015">
        <v>69.145376715102273</v>
      </c>
      <c r="J27" s="1016">
        <v>0</v>
      </c>
      <c r="K27" s="1011">
        <f>'II. Inputs, Baseline Energy Mix'!$N$101*'VII. Additional Data'!C27+'II. Inputs, Baseline Energy Mix'!$N$102</f>
        <v>0</v>
      </c>
      <c r="L27" s="1012">
        <f>'II. Inputs, Baseline Energy Mix'!$O$101*'VII. Additional Data'!C27+'II. Inputs, Baseline Energy Mix'!$O$102</f>
        <v>0</v>
      </c>
      <c r="M27" s="1013">
        <f>'II. Inputs, Baseline Energy Mix'!$P$101*'VII. Additional Data'!C27+'II. Inputs, Baseline Energy Mix'!$P$102</f>
        <v>0</v>
      </c>
      <c r="N27" s="1014">
        <f>'II. Inputs, Baseline Energy Mix'!$Q$101*'VII. Additional Data'!C27+'II. Inputs, Baseline Energy Mix'!$Q$102</f>
        <v>0</v>
      </c>
      <c r="O27" s="1015">
        <f>'II. Inputs, Baseline Energy Mix'!$R$101*'VII. Additional Data'!C27+'II. Inputs, Baseline Energy Mix'!$R$102</f>
        <v>0</v>
      </c>
      <c r="P27" s="1017">
        <f>'II. Inputs, Baseline Energy Mix'!$S$101*'VII. Additional Data'!C27+'II. Inputs, Baseline Energy Mix'!$S$102</f>
        <v>0</v>
      </c>
      <c r="Q27" s="1040">
        <v>25.893075095580659</v>
      </c>
      <c r="R27" s="1041">
        <v>13.158776776198449</v>
      </c>
      <c r="S27" s="1042">
        <v>0</v>
      </c>
      <c r="T27" s="1043">
        <f t="shared" si="1"/>
        <v>79.554452058122735</v>
      </c>
      <c r="U27" s="1044">
        <v>70.350410961929754</v>
      </c>
      <c r="V27" s="1045">
        <v>0</v>
      </c>
    </row>
    <row r="28" spans="3:22" x14ac:dyDescent="0.25">
      <c r="C28" s="1010">
        <f t="shared" si="0"/>
        <v>12</v>
      </c>
      <c r="D28" s="1010">
        <f t="shared" si="0"/>
        <v>2025</v>
      </c>
      <c r="E28" s="1011">
        <v>27.198331353545715</v>
      </c>
      <c r="F28" s="1012">
        <v>13.158776776198449</v>
      </c>
      <c r="G28" s="1013">
        <v>0</v>
      </c>
      <c r="H28" s="1014">
        <v>101.25061644289464</v>
      </c>
      <c r="I28" s="1015">
        <v>70.350410961929754</v>
      </c>
      <c r="J28" s="1016">
        <v>0</v>
      </c>
      <c r="K28" s="1011">
        <f>'II. Inputs, Baseline Energy Mix'!$N$101*'VII. Additional Data'!C28+'II. Inputs, Baseline Energy Mix'!$N$102</f>
        <v>0</v>
      </c>
      <c r="L28" s="1012">
        <f>'II. Inputs, Baseline Energy Mix'!$O$101*'VII. Additional Data'!C28+'II. Inputs, Baseline Energy Mix'!$O$102</f>
        <v>0</v>
      </c>
      <c r="M28" s="1013">
        <f>'II. Inputs, Baseline Energy Mix'!$P$101*'VII. Additional Data'!C28+'II. Inputs, Baseline Energy Mix'!$P$102</f>
        <v>0</v>
      </c>
      <c r="N28" s="1014">
        <f>'II. Inputs, Baseline Energy Mix'!$Q$101*'VII. Additional Data'!C28+'II. Inputs, Baseline Energy Mix'!$Q$102</f>
        <v>0</v>
      </c>
      <c r="O28" s="1015">
        <f>'II. Inputs, Baseline Energy Mix'!$R$101*'VII. Additional Data'!C28+'II. Inputs, Baseline Energy Mix'!$R$102</f>
        <v>0</v>
      </c>
      <c r="P28" s="1017">
        <f>'II. Inputs, Baseline Energy Mix'!$S$101*'VII. Additional Data'!C28+'II. Inputs, Baseline Energy Mix'!$S$102</f>
        <v>0</v>
      </c>
      <c r="Q28" s="1040">
        <v>27.198331353545715</v>
      </c>
      <c r="R28" s="1041">
        <v>13.292008174214986</v>
      </c>
      <c r="S28" s="1042">
        <v>0</v>
      </c>
      <c r="T28" s="1043">
        <f t="shared" si="1"/>
        <v>81.00049315431572</v>
      </c>
      <c r="U28" s="1044">
        <v>71.555445208757234</v>
      </c>
      <c r="V28" s="1045">
        <v>0</v>
      </c>
    </row>
    <row r="29" spans="3:22" x14ac:dyDescent="0.25">
      <c r="C29" s="1010">
        <f t="shared" si="0"/>
        <v>13</v>
      </c>
      <c r="D29" s="1010">
        <f t="shared" si="0"/>
        <v>2026</v>
      </c>
      <c r="E29" s="1011">
        <v>28.503587611510767</v>
      </c>
      <c r="F29" s="1012">
        <v>13.292008174214986</v>
      </c>
      <c r="G29" s="1013">
        <v>0</v>
      </c>
      <c r="H29" s="1014">
        <v>103.05816781313585</v>
      </c>
      <c r="I29" s="1015">
        <v>71.555445208757234</v>
      </c>
      <c r="J29" s="1016">
        <v>0</v>
      </c>
      <c r="K29" s="1011">
        <f>'II. Inputs, Baseline Energy Mix'!$N$101*'VII. Additional Data'!C29+'II. Inputs, Baseline Energy Mix'!$N$102</f>
        <v>0</v>
      </c>
      <c r="L29" s="1012">
        <f>'II. Inputs, Baseline Energy Mix'!$O$101*'VII. Additional Data'!C29+'II. Inputs, Baseline Energy Mix'!$O$102</f>
        <v>0</v>
      </c>
      <c r="M29" s="1013">
        <f>'II. Inputs, Baseline Energy Mix'!$P$101*'VII. Additional Data'!C29+'II. Inputs, Baseline Energy Mix'!$P$102</f>
        <v>0</v>
      </c>
      <c r="N29" s="1014">
        <f>'II. Inputs, Baseline Energy Mix'!$Q$101*'VII. Additional Data'!C29+'II. Inputs, Baseline Energy Mix'!$Q$102</f>
        <v>0</v>
      </c>
      <c r="O29" s="1015">
        <f>'II. Inputs, Baseline Energy Mix'!$R$101*'VII. Additional Data'!C29+'II. Inputs, Baseline Energy Mix'!$R$102</f>
        <v>0</v>
      </c>
      <c r="P29" s="1017">
        <f>'II. Inputs, Baseline Energy Mix'!$S$101*'VII. Additional Data'!C29+'II. Inputs, Baseline Energy Mix'!$S$102</f>
        <v>0</v>
      </c>
      <c r="Q29" s="1040">
        <v>28.503587611510767</v>
      </c>
      <c r="R29" s="1041">
        <v>13.425239572231524</v>
      </c>
      <c r="S29" s="1042">
        <v>0</v>
      </c>
      <c r="T29" s="1043">
        <f t="shared" si="1"/>
        <v>82.446534250508691</v>
      </c>
      <c r="U29" s="1044">
        <v>72.760479455584715</v>
      </c>
      <c r="V29" s="1045">
        <v>0</v>
      </c>
    </row>
    <row r="30" spans="3:22" x14ac:dyDescent="0.25">
      <c r="C30" s="1010">
        <f t="shared" si="0"/>
        <v>14</v>
      </c>
      <c r="D30" s="1010">
        <f t="shared" si="0"/>
        <v>2027</v>
      </c>
      <c r="E30" s="1011">
        <v>29.808843869475822</v>
      </c>
      <c r="F30" s="1012">
        <v>13.425239572231524</v>
      </c>
      <c r="G30" s="1013">
        <v>0</v>
      </c>
      <c r="H30" s="1014">
        <v>104.86571918337708</v>
      </c>
      <c r="I30" s="1015">
        <v>72.760479455584715</v>
      </c>
      <c r="J30" s="1016">
        <v>0</v>
      </c>
      <c r="K30" s="1011">
        <f>'II. Inputs, Baseline Energy Mix'!$N$101*'VII. Additional Data'!C30+'II. Inputs, Baseline Energy Mix'!$N$102</f>
        <v>0</v>
      </c>
      <c r="L30" s="1012">
        <f>'II. Inputs, Baseline Energy Mix'!$O$101*'VII. Additional Data'!C30+'II. Inputs, Baseline Energy Mix'!$O$102</f>
        <v>0</v>
      </c>
      <c r="M30" s="1013">
        <f>'II. Inputs, Baseline Energy Mix'!$P$101*'VII. Additional Data'!C30+'II. Inputs, Baseline Energy Mix'!$P$102</f>
        <v>0</v>
      </c>
      <c r="N30" s="1014">
        <f>'II. Inputs, Baseline Energy Mix'!$Q$101*'VII. Additional Data'!C30+'II. Inputs, Baseline Energy Mix'!$Q$102</f>
        <v>0</v>
      </c>
      <c r="O30" s="1015">
        <f>'II. Inputs, Baseline Energy Mix'!$R$101*'VII. Additional Data'!C30+'II. Inputs, Baseline Energy Mix'!$R$102</f>
        <v>0</v>
      </c>
      <c r="P30" s="1017">
        <f>'II. Inputs, Baseline Energy Mix'!$S$101*'VII. Additional Data'!C30+'II. Inputs, Baseline Energy Mix'!$S$102</f>
        <v>0</v>
      </c>
      <c r="Q30" s="1040">
        <v>29.808843869475822</v>
      </c>
      <c r="R30" s="1041">
        <v>13.558470970248061</v>
      </c>
      <c r="S30" s="1042">
        <v>0</v>
      </c>
      <c r="T30" s="1043">
        <f t="shared" si="1"/>
        <v>83.892575346701676</v>
      </c>
      <c r="U30" s="1044">
        <v>73.965513702412196</v>
      </c>
      <c r="V30" s="1045">
        <v>0</v>
      </c>
    </row>
    <row r="31" spans="3:22" x14ac:dyDescent="0.25">
      <c r="C31" s="1010">
        <f t="shared" si="0"/>
        <v>15</v>
      </c>
      <c r="D31" s="1010">
        <f t="shared" si="0"/>
        <v>2028</v>
      </c>
      <c r="E31" s="1011">
        <v>31.114100127440878</v>
      </c>
      <c r="F31" s="1012">
        <v>13.558470970248061</v>
      </c>
      <c r="G31" s="1013">
        <v>0</v>
      </c>
      <c r="H31" s="1014">
        <v>106.67327055361829</v>
      </c>
      <c r="I31" s="1015">
        <v>73.965513702412196</v>
      </c>
      <c r="J31" s="1016">
        <v>0</v>
      </c>
      <c r="K31" s="1011">
        <f>'II. Inputs, Baseline Energy Mix'!$N$101*'VII. Additional Data'!C31+'II. Inputs, Baseline Energy Mix'!$N$102</f>
        <v>0</v>
      </c>
      <c r="L31" s="1012">
        <f>'II. Inputs, Baseline Energy Mix'!$O$101*'VII. Additional Data'!C31+'II. Inputs, Baseline Energy Mix'!$O$102</f>
        <v>0</v>
      </c>
      <c r="M31" s="1013">
        <f>'II. Inputs, Baseline Energy Mix'!$P$101*'VII. Additional Data'!C31+'II. Inputs, Baseline Energy Mix'!$P$102</f>
        <v>0</v>
      </c>
      <c r="N31" s="1014">
        <f>'II. Inputs, Baseline Energy Mix'!$Q$101*'VII. Additional Data'!C31+'II. Inputs, Baseline Energy Mix'!$Q$102</f>
        <v>0</v>
      </c>
      <c r="O31" s="1015">
        <f>'II. Inputs, Baseline Energy Mix'!$R$101*'VII. Additional Data'!C31+'II. Inputs, Baseline Energy Mix'!$R$102</f>
        <v>0</v>
      </c>
      <c r="P31" s="1017">
        <f>'II. Inputs, Baseline Energy Mix'!$S$101*'VII. Additional Data'!C31+'II. Inputs, Baseline Energy Mix'!$S$102</f>
        <v>0</v>
      </c>
      <c r="Q31" s="1040">
        <v>31.114100127440878</v>
      </c>
      <c r="R31" s="1041">
        <v>13.691702368264599</v>
      </c>
      <c r="S31" s="1042">
        <v>0</v>
      </c>
      <c r="T31" s="1043">
        <f t="shared" si="1"/>
        <v>85.338616442894647</v>
      </c>
      <c r="U31" s="1044">
        <v>75.170547949239676</v>
      </c>
      <c r="V31" s="1045">
        <v>0</v>
      </c>
    </row>
    <row r="32" spans="3:22" x14ac:dyDescent="0.25">
      <c r="C32" s="1010">
        <f t="shared" si="0"/>
        <v>16</v>
      </c>
      <c r="D32" s="1010">
        <f t="shared" si="0"/>
        <v>2029</v>
      </c>
      <c r="E32" s="1011">
        <v>32.419356385405933</v>
      </c>
      <c r="F32" s="1012">
        <v>13.691702368264599</v>
      </c>
      <c r="G32" s="1013">
        <v>0</v>
      </c>
      <c r="H32" s="1014">
        <v>108.48082192385951</v>
      </c>
      <c r="I32" s="1015">
        <v>75.170547949239676</v>
      </c>
      <c r="J32" s="1016">
        <v>0</v>
      </c>
      <c r="K32" s="1011">
        <f>'II. Inputs, Baseline Energy Mix'!$N$101*'VII. Additional Data'!C32+'II. Inputs, Baseline Energy Mix'!$N$102</f>
        <v>0</v>
      </c>
      <c r="L32" s="1012">
        <f>'II. Inputs, Baseline Energy Mix'!$O$101*'VII. Additional Data'!C32+'II. Inputs, Baseline Energy Mix'!$O$102</f>
        <v>0</v>
      </c>
      <c r="M32" s="1013">
        <f>'II. Inputs, Baseline Energy Mix'!$P$101*'VII. Additional Data'!C32+'II. Inputs, Baseline Energy Mix'!$P$102</f>
        <v>0</v>
      </c>
      <c r="N32" s="1014">
        <f>'II. Inputs, Baseline Energy Mix'!$Q$101*'VII. Additional Data'!C32+'II. Inputs, Baseline Energy Mix'!$Q$102</f>
        <v>0</v>
      </c>
      <c r="O32" s="1015">
        <f>'II. Inputs, Baseline Energy Mix'!$R$101*'VII. Additional Data'!C32+'II. Inputs, Baseline Energy Mix'!$R$102</f>
        <v>0</v>
      </c>
      <c r="P32" s="1017">
        <f>'II. Inputs, Baseline Energy Mix'!$S$101*'VII. Additional Data'!C32+'II. Inputs, Baseline Energy Mix'!$S$102</f>
        <v>0</v>
      </c>
      <c r="Q32" s="1040">
        <v>32.419356385405933</v>
      </c>
      <c r="R32" s="1041">
        <v>13.824933766281136</v>
      </c>
      <c r="S32" s="1042">
        <v>0</v>
      </c>
      <c r="T32" s="1043">
        <f t="shared" si="1"/>
        <v>86.784657539087618</v>
      </c>
      <c r="U32" s="1044">
        <v>76.375582196067157</v>
      </c>
      <c r="V32" s="1045">
        <v>0</v>
      </c>
    </row>
    <row r="33" spans="3:22" x14ac:dyDescent="0.25">
      <c r="C33" s="1010">
        <f t="shared" si="0"/>
        <v>17</v>
      </c>
      <c r="D33" s="1010">
        <f t="shared" si="0"/>
        <v>2030</v>
      </c>
      <c r="E33" s="1011">
        <v>33.724612643370989</v>
      </c>
      <c r="F33" s="1012">
        <v>13.824933766281136</v>
      </c>
      <c r="G33" s="1013">
        <v>0</v>
      </c>
      <c r="H33" s="1014">
        <v>110.28837329410074</v>
      </c>
      <c r="I33" s="1015">
        <v>76.375582196067157</v>
      </c>
      <c r="J33" s="1016">
        <v>0</v>
      </c>
      <c r="K33" s="1011">
        <f>'II. Inputs, Baseline Energy Mix'!$N$101*'VII. Additional Data'!C33+'II. Inputs, Baseline Energy Mix'!$N$102</f>
        <v>0</v>
      </c>
      <c r="L33" s="1012">
        <f>'II. Inputs, Baseline Energy Mix'!$O$101*'VII. Additional Data'!C33+'II. Inputs, Baseline Energy Mix'!$O$102</f>
        <v>0</v>
      </c>
      <c r="M33" s="1013">
        <f>'II. Inputs, Baseline Energy Mix'!$P$101*'VII. Additional Data'!C33+'II. Inputs, Baseline Energy Mix'!$P$102</f>
        <v>0</v>
      </c>
      <c r="N33" s="1014">
        <f>'II. Inputs, Baseline Energy Mix'!$Q$101*'VII. Additional Data'!C33+'II. Inputs, Baseline Energy Mix'!$Q$102</f>
        <v>0</v>
      </c>
      <c r="O33" s="1015">
        <f>'II. Inputs, Baseline Energy Mix'!$R$101*'VII. Additional Data'!C33+'II. Inputs, Baseline Energy Mix'!$R$102</f>
        <v>0</v>
      </c>
      <c r="P33" s="1017">
        <f>'II. Inputs, Baseline Energy Mix'!$S$101*'VII. Additional Data'!C33+'II. Inputs, Baseline Energy Mix'!$S$102</f>
        <v>0</v>
      </c>
      <c r="Q33" s="1040">
        <v>33.724612643370989</v>
      </c>
      <c r="R33" s="1041">
        <v>13.958165164297673</v>
      </c>
      <c r="S33" s="1042">
        <v>0</v>
      </c>
      <c r="T33" s="1043">
        <f t="shared" si="1"/>
        <v>88.230698635280589</v>
      </c>
      <c r="U33" s="1044">
        <v>77.580616442894637</v>
      </c>
      <c r="V33" s="1045">
        <v>0</v>
      </c>
    </row>
    <row r="34" spans="3:22" x14ac:dyDescent="0.25">
      <c r="C34" s="1010">
        <f t="shared" si="0"/>
        <v>18</v>
      </c>
      <c r="D34" s="1010">
        <f t="shared" si="0"/>
        <v>2031</v>
      </c>
      <c r="E34" s="1011">
        <v>35.029868901336044</v>
      </c>
      <c r="F34" s="1012">
        <v>13.958165164297673</v>
      </c>
      <c r="G34" s="1013">
        <v>0</v>
      </c>
      <c r="H34" s="1014">
        <v>112.09592466434196</v>
      </c>
      <c r="I34" s="1015">
        <v>77.580616442894637</v>
      </c>
      <c r="J34" s="1016">
        <v>0</v>
      </c>
      <c r="K34" s="1011">
        <f>'II. Inputs, Baseline Energy Mix'!$N$101*'VII. Additional Data'!C34+'II. Inputs, Baseline Energy Mix'!$N$102</f>
        <v>0</v>
      </c>
      <c r="L34" s="1012">
        <f>'II. Inputs, Baseline Energy Mix'!$O$101*'VII. Additional Data'!C34+'II. Inputs, Baseline Energy Mix'!$O$102</f>
        <v>0</v>
      </c>
      <c r="M34" s="1013">
        <f>'II. Inputs, Baseline Energy Mix'!$P$101*'VII. Additional Data'!C34+'II. Inputs, Baseline Energy Mix'!$P$102</f>
        <v>0</v>
      </c>
      <c r="N34" s="1014">
        <f>'II. Inputs, Baseline Energy Mix'!$Q$101*'VII. Additional Data'!C34+'II. Inputs, Baseline Energy Mix'!$Q$102</f>
        <v>0</v>
      </c>
      <c r="O34" s="1015">
        <f>'II. Inputs, Baseline Energy Mix'!$R$101*'VII. Additional Data'!C34+'II. Inputs, Baseline Energy Mix'!$R$102</f>
        <v>0</v>
      </c>
      <c r="P34" s="1017">
        <f>'II. Inputs, Baseline Energy Mix'!$S$101*'VII. Additional Data'!C34+'II. Inputs, Baseline Energy Mix'!$S$102</f>
        <v>0</v>
      </c>
      <c r="Q34" s="1040">
        <v>35.029868901336044</v>
      </c>
      <c r="R34" s="1041">
        <v>14.091396562314211</v>
      </c>
      <c r="S34" s="1042">
        <v>0</v>
      </c>
      <c r="T34" s="1043">
        <f t="shared" si="1"/>
        <v>89.676739731473575</v>
      </c>
      <c r="U34" s="1044">
        <v>78.785650689722104</v>
      </c>
      <c r="V34" s="1045">
        <v>0</v>
      </c>
    </row>
    <row r="35" spans="3:22" x14ac:dyDescent="0.25">
      <c r="C35" s="1010">
        <f t="shared" si="0"/>
        <v>19</v>
      </c>
      <c r="D35" s="1010">
        <f t="shared" si="0"/>
        <v>2032</v>
      </c>
      <c r="E35" s="1011">
        <v>36.3351251593011</v>
      </c>
      <c r="F35" s="1012">
        <v>14.091396562314211</v>
      </c>
      <c r="G35" s="1013">
        <v>0</v>
      </c>
      <c r="H35" s="1014">
        <v>113.90347603458318</v>
      </c>
      <c r="I35" s="1015">
        <v>78.785650689722104</v>
      </c>
      <c r="J35" s="1016">
        <v>0</v>
      </c>
      <c r="K35" s="1011">
        <f>'II. Inputs, Baseline Energy Mix'!$N$101*'VII. Additional Data'!C35+'II. Inputs, Baseline Energy Mix'!$N$102</f>
        <v>0</v>
      </c>
      <c r="L35" s="1012">
        <f>'II. Inputs, Baseline Energy Mix'!$O$101*'VII. Additional Data'!C35+'II. Inputs, Baseline Energy Mix'!$O$102</f>
        <v>0</v>
      </c>
      <c r="M35" s="1013">
        <f>'II. Inputs, Baseline Energy Mix'!$P$101*'VII. Additional Data'!C35+'II. Inputs, Baseline Energy Mix'!$P$102</f>
        <v>0</v>
      </c>
      <c r="N35" s="1014">
        <f>'II. Inputs, Baseline Energy Mix'!$Q$101*'VII. Additional Data'!C35+'II. Inputs, Baseline Energy Mix'!$Q$102</f>
        <v>0</v>
      </c>
      <c r="O35" s="1015">
        <f>'II. Inputs, Baseline Energy Mix'!$R$101*'VII. Additional Data'!C35+'II. Inputs, Baseline Energy Mix'!$R$102</f>
        <v>0</v>
      </c>
      <c r="P35" s="1017">
        <f>'II. Inputs, Baseline Energy Mix'!$S$101*'VII. Additional Data'!C35+'II. Inputs, Baseline Energy Mix'!$S$102</f>
        <v>0</v>
      </c>
      <c r="Q35" s="1040">
        <v>36.3351251593011</v>
      </c>
      <c r="R35" s="1041">
        <v>14.224627960330748</v>
      </c>
      <c r="S35" s="1042">
        <v>0</v>
      </c>
      <c r="T35" s="1043">
        <f t="shared" si="1"/>
        <v>91.122780827666546</v>
      </c>
      <c r="U35" s="1044">
        <v>79.990684936549584</v>
      </c>
      <c r="V35" s="1045">
        <v>0</v>
      </c>
    </row>
    <row r="36" spans="3:22" x14ac:dyDescent="0.25">
      <c r="C36" s="1010">
        <f t="shared" si="0"/>
        <v>20</v>
      </c>
      <c r="D36" s="1010">
        <f t="shared" si="0"/>
        <v>2033</v>
      </c>
      <c r="E36" s="1011">
        <v>37.577556476360257</v>
      </c>
      <c r="F36" s="1012">
        <v>14.224627960330748</v>
      </c>
      <c r="G36" s="1013">
        <v>0</v>
      </c>
      <c r="H36" s="1014">
        <v>115.71102740482439</v>
      </c>
      <c r="I36" s="1015">
        <v>79.990684936549584</v>
      </c>
      <c r="J36" s="1016">
        <v>0</v>
      </c>
      <c r="K36" s="1011">
        <f>'II. Inputs, Baseline Energy Mix'!$N$101*'VII. Additional Data'!C36+'II. Inputs, Baseline Energy Mix'!$N$102</f>
        <v>0</v>
      </c>
      <c r="L36" s="1012">
        <f>'II. Inputs, Baseline Energy Mix'!$O$101*'VII. Additional Data'!C36+'II. Inputs, Baseline Energy Mix'!$O$102</f>
        <v>0</v>
      </c>
      <c r="M36" s="1013">
        <f>'II. Inputs, Baseline Energy Mix'!$P$101*'VII. Additional Data'!C36+'II. Inputs, Baseline Energy Mix'!$P$102</f>
        <v>0</v>
      </c>
      <c r="N36" s="1014">
        <f>'II. Inputs, Baseline Energy Mix'!$Q$101*'VII. Additional Data'!C36+'II. Inputs, Baseline Energy Mix'!$Q$102</f>
        <v>0</v>
      </c>
      <c r="O36" s="1015">
        <f>'II. Inputs, Baseline Energy Mix'!$R$101*'VII. Additional Data'!C36+'II. Inputs, Baseline Energy Mix'!$R$102</f>
        <v>0</v>
      </c>
      <c r="P36" s="1017">
        <f>'II. Inputs, Baseline Energy Mix'!$S$101*'VII. Additional Data'!C36+'II. Inputs, Baseline Energy Mix'!$S$102</f>
        <v>0</v>
      </c>
      <c r="Q36" s="1040">
        <v>37.577556476360257</v>
      </c>
      <c r="R36" s="1041">
        <v>14.827929346447126</v>
      </c>
      <c r="S36" s="1042">
        <v>0</v>
      </c>
      <c r="T36" s="1043">
        <f t="shared" si="1"/>
        <v>92.568821923859517</v>
      </c>
      <c r="U36" s="1044">
        <v>81.727684531943652</v>
      </c>
      <c r="V36" s="1045">
        <v>0</v>
      </c>
    </row>
    <row r="37" spans="3:22" x14ac:dyDescent="0.25">
      <c r="C37" s="1010">
        <f t="shared" si="0"/>
        <v>21</v>
      </c>
      <c r="D37" s="1010">
        <f t="shared" si="0"/>
        <v>2034</v>
      </c>
      <c r="E37" s="1011">
        <v>38.819987793419422</v>
      </c>
      <c r="F37" s="1012">
        <v>14.827929346447126</v>
      </c>
      <c r="G37" s="1013">
        <v>0</v>
      </c>
      <c r="H37" s="1014">
        <v>118.31652679791549</v>
      </c>
      <c r="I37" s="1015">
        <v>81.727684531943652</v>
      </c>
      <c r="J37" s="1016">
        <v>0</v>
      </c>
      <c r="K37" s="1011">
        <f>'II. Inputs, Baseline Energy Mix'!$N$101*'VII. Additional Data'!C37+'II. Inputs, Baseline Energy Mix'!$N$102</f>
        <v>0</v>
      </c>
      <c r="L37" s="1012">
        <f>'II. Inputs, Baseline Energy Mix'!$O$101*'VII. Additional Data'!C37+'II. Inputs, Baseline Energy Mix'!$O$102</f>
        <v>0</v>
      </c>
      <c r="M37" s="1013">
        <f>'II. Inputs, Baseline Energy Mix'!$P$101*'VII. Additional Data'!C37+'II. Inputs, Baseline Energy Mix'!$P$102</f>
        <v>0</v>
      </c>
      <c r="N37" s="1014">
        <f>'II. Inputs, Baseline Energy Mix'!$Q$101*'VII. Additional Data'!C37+'II. Inputs, Baseline Energy Mix'!$Q$102</f>
        <v>0</v>
      </c>
      <c r="O37" s="1015">
        <f>'II. Inputs, Baseline Energy Mix'!$R$101*'VII. Additional Data'!C37+'II. Inputs, Baseline Energy Mix'!$R$102</f>
        <v>0</v>
      </c>
      <c r="P37" s="1017">
        <f>'II. Inputs, Baseline Energy Mix'!$S$101*'VII. Additional Data'!C37+'II. Inputs, Baseline Energy Mix'!$S$102</f>
        <v>0</v>
      </c>
      <c r="Q37" s="1040">
        <v>38.819987793419422</v>
      </c>
      <c r="R37" s="1041">
        <v>15.431230732563503</v>
      </c>
      <c r="S37" s="1042">
        <v>0</v>
      </c>
      <c r="T37" s="1043">
        <f t="shared" si="1"/>
        <v>94.653221438332395</v>
      </c>
      <c r="U37" s="1044">
        <v>83.464684127337705</v>
      </c>
      <c r="V37" s="1045">
        <v>0</v>
      </c>
    </row>
    <row r="38" spans="3:22" x14ac:dyDescent="0.25">
      <c r="C38" s="1010">
        <f t="shared" si="0"/>
        <v>22</v>
      </c>
      <c r="D38" s="1010">
        <f t="shared" si="0"/>
        <v>2035</v>
      </c>
      <c r="E38" s="1011">
        <v>40.062419110478587</v>
      </c>
      <c r="F38" s="1012">
        <v>15.431230732563503</v>
      </c>
      <c r="G38" s="1013">
        <v>0</v>
      </c>
      <c r="H38" s="1014">
        <v>120.92202619100655</v>
      </c>
      <c r="I38" s="1015">
        <v>83.464684127337705</v>
      </c>
      <c r="J38" s="1016">
        <v>0</v>
      </c>
      <c r="K38" s="1011">
        <f>'II. Inputs, Baseline Energy Mix'!$N$101*'VII. Additional Data'!C38+'II. Inputs, Baseline Energy Mix'!$N$102</f>
        <v>0</v>
      </c>
      <c r="L38" s="1012">
        <f>'II. Inputs, Baseline Energy Mix'!$O$101*'VII. Additional Data'!C38+'II. Inputs, Baseline Energy Mix'!$O$102</f>
        <v>0</v>
      </c>
      <c r="M38" s="1013">
        <f>'II. Inputs, Baseline Energy Mix'!$P$101*'VII. Additional Data'!C38+'II. Inputs, Baseline Energy Mix'!$P$102</f>
        <v>0</v>
      </c>
      <c r="N38" s="1014">
        <f>'II. Inputs, Baseline Energy Mix'!$Q$101*'VII. Additional Data'!C38+'II. Inputs, Baseline Energy Mix'!$Q$102</f>
        <v>0</v>
      </c>
      <c r="O38" s="1015">
        <f>'II. Inputs, Baseline Energy Mix'!$R$101*'VII. Additional Data'!C38+'II. Inputs, Baseline Energy Mix'!$R$102</f>
        <v>0</v>
      </c>
      <c r="P38" s="1017">
        <f>'II. Inputs, Baseline Energy Mix'!$S$101*'VII. Additional Data'!C38+'II. Inputs, Baseline Energy Mix'!$S$102</f>
        <v>0</v>
      </c>
      <c r="Q38" s="1040">
        <v>40.062419110478587</v>
      </c>
      <c r="R38" s="1041">
        <v>16.034532118679877</v>
      </c>
      <c r="S38" s="1042">
        <v>0</v>
      </c>
      <c r="T38" s="1043">
        <f t="shared" si="1"/>
        <v>96.737620952805244</v>
      </c>
      <c r="U38" s="1044">
        <v>85.201683722731758</v>
      </c>
      <c r="V38" s="1045">
        <v>0</v>
      </c>
    </row>
    <row r="39" spans="3:22" x14ac:dyDescent="0.25">
      <c r="C39" s="1010">
        <f t="shared" si="0"/>
        <v>23</v>
      </c>
      <c r="D39" s="1010">
        <f t="shared" si="0"/>
        <v>2036</v>
      </c>
      <c r="E39" s="1011">
        <v>41.304850427537744</v>
      </c>
      <c r="F39" s="1012">
        <v>16.034532118679877</v>
      </c>
      <c r="G39" s="1013">
        <v>0</v>
      </c>
      <c r="H39" s="1014">
        <v>123.52752558409765</v>
      </c>
      <c r="I39" s="1015">
        <v>85.201683722731758</v>
      </c>
      <c r="J39" s="1016">
        <v>0</v>
      </c>
      <c r="K39" s="1011">
        <f>'II. Inputs, Baseline Energy Mix'!$N$101*'VII. Additional Data'!C39+'II. Inputs, Baseline Energy Mix'!$N$102</f>
        <v>0</v>
      </c>
      <c r="L39" s="1012">
        <f>'II. Inputs, Baseline Energy Mix'!$O$101*'VII. Additional Data'!C39+'II. Inputs, Baseline Energy Mix'!$O$102</f>
        <v>0</v>
      </c>
      <c r="M39" s="1013">
        <f>'II. Inputs, Baseline Energy Mix'!$P$101*'VII. Additional Data'!C39+'II. Inputs, Baseline Energy Mix'!$P$102</f>
        <v>0</v>
      </c>
      <c r="N39" s="1014">
        <f>'II. Inputs, Baseline Energy Mix'!$Q$101*'VII. Additional Data'!C39+'II. Inputs, Baseline Energy Mix'!$Q$102</f>
        <v>0</v>
      </c>
      <c r="O39" s="1015">
        <f>'II. Inputs, Baseline Energy Mix'!$R$101*'VII. Additional Data'!C39+'II. Inputs, Baseline Energy Mix'!$R$102</f>
        <v>0</v>
      </c>
      <c r="P39" s="1017">
        <f>'II. Inputs, Baseline Energy Mix'!$S$101*'VII. Additional Data'!C39+'II. Inputs, Baseline Energy Mix'!$S$102</f>
        <v>0</v>
      </c>
      <c r="Q39" s="1040">
        <v>41.304850427537744</v>
      </c>
      <c r="R39" s="1041">
        <v>16.637833504796255</v>
      </c>
      <c r="S39" s="1042">
        <v>0</v>
      </c>
      <c r="T39" s="1043">
        <f t="shared" si="1"/>
        <v>98.822020467278122</v>
      </c>
      <c r="U39" s="1044">
        <v>86.938683318125811</v>
      </c>
      <c r="V39" s="1045">
        <v>0</v>
      </c>
    </row>
    <row r="40" spans="3:22" x14ac:dyDescent="0.25">
      <c r="C40" s="1010">
        <f t="shared" si="0"/>
        <v>24</v>
      </c>
      <c r="D40" s="1010">
        <f t="shared" si="0"/>
        <v>2037</v>
      </c>
      <c r="E40" s="1011">
        <v>42.547281744596908</v>
      </c>
      <c r="F40" s="1012">
        <v>16.637833504796255</v>
      </c>
      <c r="G40" s="1013">
        <v>0</v>
      </c>
      <c r="H40" s="1014">
        <v>126.13302497718873</v>
      </c>
      <c r="I40" s="1015">
        <v>86.938683318125811</v>
      </c>
      <c r="J40" s="1016">
        <v>0</v>
      </c>
      <c r="K40" s="1011">
        <f>'II. Inputs, Baseline Energy Mix'!$N$101*'VII. Additional Data'!C40+'II. Inputs, Baseline Energy Mix'!$N$102</f>
        <v>0</v>
      </c>
      <c r="L40" s="1012">
        <f>'II. Inputs, Baseline Energy Mix'!$O$101*'VII. Additional Data'!C40+'II. Inputs, Baseline Energy Mix'!$O$102</f>
        <v>0</v>
      </c>
      <c r="M40" s="1013">
        <f>'II. Inputs, Baseline Energy Mix'!$P$101*'VII. Additional Data'!C40+'II. Inputs, Baseline Energy Mix'!$P$102</f>
        <v>0</v>
      </c>
      <c r="N40" s="1014">
        <f>'II. Inputs, Baseline Energy Mix'!$Q$101*'VII. Additional Data'!C40+'II. Inputs, Baseline Energy Mix'!$Q$102</f>
        <v>0</v>
      </c>
      <c r="O40" s="1015">
        <f>'II. Inputs, Baseline Energy Mix'!$R$101*'VII. Additional Data'!C40+'II. Inputs, Baseline Energy Mix'!$R$102</f>
        <v>0</v>
      </c>
      <c r="P40" s="1017">
        <f>'II. Inputs, Baseline Energy Mix'!$S$101*'VII. Additional Data'!C40+'II. Inputs, Baseline Energy Mix'!$S$102</f>
        <v>0</v>
      </c>
      <c r="Q40" s="1040">
        <v>42.547281744596908</v>
      </c>
      <c r="R40" s="1041">
        <v>17.241134890912633</v>
      </c>
      <c r="S40" s="1042">
        <v>0</v>
      </c>
      <c r="T40" s="1043">
        <f t="shared" si="1"/>
        <v>100.90641998175099</v>
      </c>
      <c r="U40" s="1044">
        <v>88.675682913519864</v>
      </c>
      <c r="V40" s="1045">
        <v>0</v>
      </c>
    </row>
    <row r="41" spans="3:22" x14ac:dyDescent="0.25">
      <c r="C41" s="1010">
        <f t="shared" si="0"/>
        <v>25</v>
      </c>
      <c r="D41" s="1010">
        <f t="shared" si="0"/>
        <v>2038</v>
      </c>
      <c r="E41" s="1011">
        <v>43.789713061656073</v>
      </c>
      <c r="F41" s="1012">
        <v>17.241134890912633</v>
      </c>
      <c r="G41" s="1013">
        <v>0</v>
      </c>
      <c r="H41" s="1014">
        <v>128.7385243702798</v>
      </c>
      <c r="I41" s="1015">
        <v>88.675682913519864</v>
      </c>
      <c r="J41" s="1016">
        <v>0</v>
      </c>
      <c r="K41" s="1011">
        <f>'II. Inputs, Baseline Energy Mix'!$N$101*'VII. Additional Data'!C41+'II. Inputs, Baseline Energy Mix'!$N$102</f>
        <v>0</v>
      </c>
      <c r="L41" s="1012">
        <f>'II. Inputs, Baseline Energy Mix'!$O$101*'VII. Additional Data'!C41+'II. Inputs, Baseline Energy Mix'!$O$102</f>
        <v>0</v>
      </c>
      <c r="M41" s="1013">
        <f>'II. Inputs, Baseline Energy Mix'!$P$101*'VII. Additional Data'!C41+'II. Inputs, Baseline Energy Mix'!$P$102</f>
        <v>0</v>
      </c>
      <c r="N41" s="1014">
        <f>'II. Inputs, Baseline Energy Mix'!$Q$101*'VII. Additional Data'!C41+'II. Inputs, Baseline Energy Mix'!$Q$102</f>
        <v>0</v>
      </c>
      <c r="O41" s="1015">
        <f>'II. Inputs, Baseline Energy Mix'!$R$101*'VII. Additional Data'!C41+'II. Inputs, Baseline Energy Mix'!$R$102</f>
        <v>0</v>
      </c>
      <c r="P41" s="1017">
        <f>'II. Inputs, Baseline Energy Mix'!$S$101*'VII. Additional Data'!C41+'II. Inputs, Baseline Energy Mix'!$S$102</f>
        <v>0</v>
      </c>
      <c r="Q41" s="1040">
        <v>43.789713061656073</v>
      </c>
      <c r="R41" s="1041">
        <v>17.844436277029011</v>
      </c>
      <c r="S41" s="1042">
        <v>0</v>
      </c>
      <c r="T41" s="1043">
        <f t="shared" si="1"/>
        <v>102.99081949622385</v>
      </c>
      <c r="U41" s="1044">
        <v>90.412682508913917</v>
      </c>
      <c r="V41" s="1045">
        <v>0</v>
      </c>
    </row>
    <row r="42" spans="3:22" x14ac:dyDescent="0.25">
      <c r="C42" s="1010">
        <f t="shared" si="0"/>
        <v>26</v>
      </c>
      <c r="D42" s="1010">
        <f t="shared" si="0"/>
        <v>2039</v>
      </c>
      <c r="E42" s="1011">
        <v>45.03214437871523</v>
      </c>
      <c r="F42" s="1012">
        <v>17.844436277029011</v>
      </c>
      <c r="G42" s="1013">
        <v>0</v>
      </c>
      <c r="H42" s="1014">
        <v>131.3440237633709</v>
      </c>
      <c r="I42" s="1015">
        <v>90.412682508913917</v>
      </c>
      <c r="J42" s="1016">
        <v>0</v>
      </c>
      <c r="K42" s="1011">
        <f>'II. Inputs, Baseline Energy Mix'!$N$101*'VII. Additional Data'!C42+'II. Inputs, Baseline Energy Mix'!$N$102</f>
        <v>0</v>
      </c>
      <c r="L42" s="1012">
        <f>'II. Inputs, Baseline Energy Mix'!$O$101*'VII. Additional Data'!C42+'II. Inputs, Baseline Energy Mix'!$O$102</f>
        <v>0</v>
      </c>
      <c r="M42" s="1013">
        <f>'II. Inputs, Baseline Energy Mix'!$P$101*'VII. Additional Data'!C42+'II. Inputs, Baseline Energy Mix'!$P$102</f>
        <v>0</v>
      </c>
      <c r="N42" s="1014">
        <f>'II. Inputs, Baseline Energy Mix'!$Q$101*'VII. Additional Data'!C42+'II. Inputs, Baseline Energy Mix'!$Q$102</f>
        <v>0</v>
      </c>
      <c r="O42" s="1015">
        <f>'II. Inputs, Baseline Energy Mix'!$R$101*'VII. Additional Data'!C42+'II. Inputs, Baseline Energy Mix'!$R$102</f>
        <v>0</v>
      </c>
      <c r="P42" s="1017">
        <f>'II. Inputs, Baseline Energy Mix'!$S$101*'VII. Additional Data'!C42+'II. Inputs, Baseline Energy Mix'!$S$102</f>
        <v>0</v>
      </c>
      <c r="Q42" s="1040">
        <v>45.03214437871523</v>
      </c>
      <c r="R42" s="1041">
        <v>18.447737663145389</v>
      </c>
      <c r="S42" s="1042">
        <v>0</v>
      </c>
      <c r="T42" s="1043">
        <f t="shared" si="1"/>
        <v>105.07521901069673</v>
      </c>
      <c r="U42" s="1044">
        <v>92.149682104307971</v>
      </c>
      <c r="V42" s="1045">
        <v>0</v>
      </c>
    </row>
    <row r="43" spans="3:22" x14ac:dyDescent="0.25">
      <c r="C43" s="1010">
        <f t="shared" si="0"/>
        <v>27</v>
      </c>
      <c r="D43" s="1010">
        <f t="shared" si="0"/>
        <v>2040</v>
      </c>
      <c r="E43" s="1011">
        <v>46.274575695774388</v>
      </c>
      <c r="F43" s="1012">
        <v>18.447737663145389</v>
      </c>
      <c r="G43" s="1013">
        <v>0</v>
      </c>
      <c r="H43" s="1014">
        <v>133.94952315646196</v>
      </c>
      <c r="I43" s="1015">
        <v>92.149682104307971</v>
      </c>
      <c r="J43" s="1016">
        <v>0</v>
      </c>
      <c r="K43" s="1011">
        <f>'II. Inputs, Baseline Energy Mix'!$N$101*'VII. Additional Data'!C43+'II. Inputs, Baseline Energy Mix'!$N$102</f>
        <v>0</v>
      </c>
      <c r="L43" s="1012">
        <f>'II. Inputs, Baseline Energy Mix'!$O$101*'VII. Additional Data'!C43+'II. Inputs, Baseline Energy Mix'!$O$102</f>
        <v>0</v>
      </c>
      <c r="M43" s="1013">
        <f>'II. Inputs, Baseline Energy Mix'!$P$101*'VII. Additional Data'!C43+'II. Inputs, Baseline Energy Mix'!$P$102</f>
        <v>0</v>
      </c>
      <c r="N43" s="1014">
        <f>'II. Inputs, Baseline Energy Mix'!$Q$101*'VII. Additional Data'!C43+'II. Inputs, Baseline Energy Mix'!$Q$102</f>
        <v>0</v>
      </c>
      <c r="O43" s="1015">
        <f>'II. Inputs, Baseline Energy Mix'!$R$101*'VII. Additional Data'!C43+'II. Inputs, Baseline Energy Mix'!$R$102</f>
        <v>0</v>
      </c>
      <c r="P43" s="1017">
        <f>'II. Inputs, Baseline Energy Mix'!$S$101*'VII. Additional Data'!C43+'II. Inputs, Baseline Energy Mix'!$S$102</f>
        <v>0</v>
      </c>
      <c r="Q43" s="1040">
        <v>46.274575695774388</v>
      </c>
      <c r="R43" s="1041">
        <v>19.051039049261767</v>
      </c>
      <c r="S43" s="1042">
        <v>0</v>
      </c>
      <c r="T43" s="1043">
        <f t="shared" si="1"/>
        <v>107.15961852516958</v>
      </c>
      <c r="U43" s="1044">
        <v>93.886681699702024</v>
      </c>
      <c r="V43" s="1045">
        <v>0</v>
      </c>
    </row>
    <row r="44" spans="3:22" x14ac:dyDescent="0.25">
      <c r="C44" s="1010">
        <f t="shared" si="0"/>
        <v>28</v>
      </c>
      <c r="D44" s="1010">
        <f t="shared" si="0"/>
        <v>2041</v>
      </c>
      <c r="E44" s="1011">
        <v>47.51700701283356</v>
      </c>
      <c r="F44" s="1012">
        <v>19.051039049261767</v>
      </c>
      <c r="G44" s="1013">
        <v>0</v>
      </c>
      <c r="H44" s="1014">
        <v>136.55502254955306</v>
      </c>
      <c r="I44" s="1015">
        <v>93.886681699702024</v>
      </c>
      <c r="J44" s="1016">
        <v>0</v>
      </c>
      <c r="K44" s="1011">
        <f>'II. Inputs, Baseline Energy Mix'!$N$101*'VII. Additional Data'!C44+'II. Inputs, Baseline Energy Mix'!$N$102</f>
        <v>0</v>
      </c>
      <c r="L44" s="1012">
        <f>'II. Inputs, Baseline Energy Mix'!$O$101*'VII. Additional Data'!C44+'II. Inputs, Baseline Energy Mix'!$O$102</f>
        <v>0</v>
      </c>
      <c r="M44" s="1013">
        <f>'II. Inputs, Baseline Energy Mix'!$P$101*'VII. Additional Data'!C44+'II. Inputs, Baseline Energy Mix'!$P$102</f>
        <v>0</v>
      </c>
      <c r="N44" s="1014">
        <f>'II. Inputs, Baseline Energy Mix'!$Q$101*'VII. Additional Data'!C44+'II. Inputs, Baseline Energy Mix'!$Q$102</f>
        <v>0</v>
      </c>
      <c r="O44" s="1015">
        <f>'II. Inputs, Baseline Energy Mix'!$R$101*'VII. Additional Data'!C44+'II. Inputs, Baseline Energy Mix'!$R$102</f>
        <v>0</v>
      </c>
      <c r="P44" s="1017">
        <f>'II. Inputs, Baseline Energy Mix'!$S$101*'VII. Additional Data'!C44+'II. Inputs, Baseline Energy Mix'!$S$102</f>
        <v>0</v>
      </c>
      <c r="Q44" s="1040">
        <v>47.51700701283356</v>
      </c>
      <c r="R44" s="1041">
        <v>19.654340435378145</v>
      </c>
      <c r="S44" s="1042">
        <v>0</v>
      </c>
      <c r="T44" s="1043">
        <f t="shared" si="1"/>
        <v>109.24401803964246</v>
      </c>
      <c r="U44" s="1044">
        <v>95.623681295096077</v>
      </c>
      <c r="V44" s="1045">
        <v>0</v>
      </c>
    </row>
    <row r="45" spans="3:22" x14ac:dyDescent="0.25">
      <c r="C45" s="1010">
        <f t="shared" si="0"/>
        <v>29</v>
      </c>
      <c r="D45" s="1010">
        <f t="shared" si="0"/>
        <v>2042</v>
      </c>
      <c r="E45" s="1011">
        <v>48.759438329892717</v>
      </c>
      <c r="F45" s="1012">
        <v>19.654340435378145</v>
      </c>
      <c r="G45" s="1013">
        <v>0</v>
      </c>
      <c r="H45" s="1014">
        <v>139.16052194264412</v>
      </c>
      <c r="I45" s="1015">
        <v>95.623681295096077</v>
      </c>
      <c r="J45" s="1016">
        <v>0</v>
      </c>
      <c r="K45" s="1011">
        <f>'II. Inputs, Baseline Energy Mix'!$N$101*'VII. Additional Data'!C45+'II. Inputs, Baseline Energy Mix'!$N$102</f>
        <v>0</v>
      </c>
      <c r="L45" s="1012">
        <f>'II. Inputs, Baseline Energy Mix'!$O$101*'VII. Additional Data'!C45+'II. Inputs, Baseline Energy Mix'!$O$102</f>
        <v>0</v>
      </c>
      <c r="M45" s="1013">
        <f>'II. Inputs, Baseline Energy Mix'!$P$101*'VII. Additional Data'!C45+'II. Inputs, Baseline Energy Mix'!$P$102</f>
        <v>0</v>
      </c>
      <c r="N45" s="1014">
        <f>'II. Inputs, Baseline Energy Mix'!$Q$101*'VII. Additional Data'!C45+'II. Inputs, Baseline Energy Mix'!$Q$102</f>
        <v>0</v>
      </c>
      <c r="O45" s="1015">
        <f>'II. Inputs, Baseline Energy Mix'!$R$101*'VII. Additional Data'!C45+'II. Inputs, Baseline Energy Mix'!$R$102</f>
        <v>0</v>
      </c>
      <c r="P45" s="1017">
        <f>'II. Inputs, Baseline Energy Mix'!$S$101*'VII. Additional Data'!C45+'II. Inputs, Baseline Energy Mix'!$S$102</f>
        <v>0</v>
      </c>
      <c r="Q45" s="1040">
        <v>48.759438329892717</v>
      </c>
      <c r="R45" s="1041">
        <v>20.257641821494516</v>
      </c>
      <c r="S45" s="1042">
        <v>0</v>
      </c>
      <c r="T45" s="1043">
        <f t="shared" si="1"/>
        <v>111.3284175541153</v>
      </c>
      <c r="U45" s="1044">
        <v>97.36068089049013</v>
      </c>
      <c r="V45" s="1045">
        <v>0</v>
      </c>
    </row>
    <row r="46" spans="3:22" x14ac:dyDescent="0.25">
      <c r="C46" s="1010">
        <f t="shared" si="0"/>
        <v>30</v>
      </c>
      <c r="D46" s="1010">
        <f t="shared" si="0"/>
        <v>2043</v>
      </c>
      <c r="E46" s="1011">
        <v>50.001869646951874</v>
      </c>
      <c r="F46" s="1012">
        <v>20.257641821494516</v>
      </c>
      <c r="G46" s="1013">
        <v>0</v>
      </c>
      <c r="H46" s="1014">
        <v>141.76602133573522</v>
      </c>
      <c r="I46" s="1015">
        <v>97.36068089049013</v>
      </c>
      <c r="J46" s="1016">
        <v>0</v>
      </c>
      <c r="K46" s="1011">
        <f>'II. Inputs, Baseline Energy Mix'!$N$101*'VII. Additional Data'!C46+'II. Inputs, Baseline Energy Mix'!$N$102</f>
        <v>0</v>
      </c>
      <c r="L46" s="1012">
        <f>'II. Inputs, Baseline Energy Mix'!$O$101*'VII. Additional Data'!C46+'II. Inputs, Baseline Energy Mix'!$O$102</f>
        <v>0</v>
      </c>
      <c r="M46" s="1013">
        <f>'II. Inputs, Baseline Energy Mix'!$P$101*'VII. Additional Data'!C46+'II. Inputs, Baseline Energy Mix'!$P$102</f>
        <v>0</v>
      </c>
      <c r="N46" s="1014">
        <f>'II. Inputs, Baseline Energy Mix'!$Q$101*'VII. Additional Data'!C46+'II. Inputs, Baseline Energy Mix'!$Q$102</f>
        <v>0</v>
      </c>
      <c r="O46" s="1015">
        <f>'II. Inputs, Baseline Energy Mix'!$R$101*'VII. Additional Data'!C46+'II. Inputs, Baseline Energy Mix'!$R$102</f>
        <v>0</v>
      </c>
      <c r="P46" s="1017">
        <f>'II. Inputs, Baseline Energy Mix'!$S$101*'VII. Additional Data'!C46+'II. Inputs, Baseline Energy Mix'!$S$102</f>
        <v>0</v>
      </c>
      <c r="Q46" s="1040">
        <v>50.001869646951874</v>
      </c>
      <c r="R46" s="1041">
        <v>20.860943207610894</v>
      </c>
      <c r="S46" s="1042">
        <v>0</v>
      </c>
      <c r="T46" s="1043">
        <f t="shared" si="1"/>
        <v>113.41281706858818</v>
      </c>
      <c r="U46" s="1044">
        <v>99.097680485884183</v>
      </c>
      <c r="V46" s="1045">
        <v>0</v>
      </c>
    </row>
    <row r="47" spans="3:22" x14ac:dyDescent="0.25">
      <c r="C47" s="1010">
        <f t="shared" si="0"/>
        <v>31</v>
      </c>
      <c r="D47" s="1010">
        <f t="shared" si="0"/>
        <v>2044</v>
      </c>
      <c r="E47" s="1011">
        <v>51.244300964011046</v>
      </c>
      <c r="F47" s="1012">
        <v>20.860943207610894</v>
      </c>
      <c r="G47" s="1013">
        <v>0</v>
      </c>
      <c r="H47" s="1014">
        <v>144.37152072882631</v>
      </c>
      <c r="I47" s="1015">
        <v>99.097680485884183</v>
      </c>
      <c r="J47" s="1016">
        <v>0</v>
      </c>
      <c r="K47" s="1011">
        <f>'II. Inputs, Baseline Energy Mix'!$N$101*'VII. Additional Data'!C47+'II. Inputs, Baseline Energy Mix'!$N$102</f>
        <v>0</v>
      </c>
      <c r="L47" s="1012">
        <f>'II. Inputs, Baseline Energy Mix'!$O$101*'VII. Additional Data'!C47+'II. Inputs, Baseline Energy Mix'!$O$102</f>
        <v>0</v>
      </c>
      <c r="M47" s="1013">
        <f>'II. Inputs, Baseline Energy Mix'!$P$101*'VII. Additional Data'!C47+'II. Inputs, Baseline Energy Mix'!$P$102</f>
        <v>0</v>
      </c>
      <c r="N47" s="1014">
        <f>'II. Inputs, Baseline Energy Mix'!$Q$101*'VII. Additional Data'!C47+'II. Inputs, Baseline Energy Mix'!$Q$102</f>
        <v>0</v>
      </c>
      <c r="O47" s="1015">
        <f>'II. Inputs, Baseline Energy Mix'!$R$101*'VII. Additional Data'!C47+'II. Inputs, Baseline Energy Mix'!$R$102</f>
        <v>0</v>
      </c>
      <c r="P47" s="1017">
        <f>'II. Inputs, Baseline Energy Mix'!$S$101*'VII. Additional Data'!C47+'II. Inputs, Baseline Energy Mix'!$S$102</f>
        <v>0</v>
      </c>
      <c r="Q47" s="1040">
        <v>51.244300964011046</v>
      </c>
      <c r="R47" s="1041">
        <v>21.464244593727273</v>
      </c>
      <c r="S47" s="1042">
        <v>0</v>
      </c>
      <c r="T47" s="1043">
        <f t="shared" si="1"/>
        <v>115.49721658306106</v>
      </c>
      <c r="U47" s="1044">
        <v>100.83468008127824</v>
      </c>
      <c r="V47" s="1045">
        <v>0</v>
      </c>
    </row>
    <row r="48" spans="3:22" x14ac:dyDescent="0.25">
      <c r="C48" s="1010">
        <f t="shared" si="0"/>
        <v>32</v>
      </c>
      <c r="D48" s="1010">
        <f t="shared" si="0"/>
        <v>2045</v>
      </c>
      <c r="E48" s="1011">
        <v>52.486732281070203</v>
      </c>
      <c r="F48" s="1012">
        <v>21.464244593727273</v>
      </c>
      <c r="G48" s="1013">
        <v>0</v>
      </c>
      <c r="H48" s="1014">
        <v>146.97702012191738</v>
      </c>
      <c r="I48" s="1015">
        <v>100.83468008127824</v>
      </c>
      <c r="J48" s="1016">
        <v>0</v>
      </c>
      <c r="K48" s="1011">
        <f>'II. Inputs, Baseline Energy Mix'!$N$101*'VII. Additional Data'!C48+'II. Inputs, Baseline Energy Mix'!$N$102</f>
        <v>0</v>
      </c>
      <c r="L48" s="1012">
        <f>'II. Inputs, Baseline Energy Mix'!$O$101*'VII. Additional Data'!C48+'II. Inputs, Baseline Energy Mix'!$O$102</f>
        <v>0</v>
      </c>
      <c r="M48" s="1013">
        <f>'II. Inputs, Baseline Energy Mix'!$P$101*'VII. Additional Data'!C48+'II. Inputs, Baseline Energy Mix'!$P$102</f>
        <v>0</v>
      </c>
      <c r="N48" s="1014">
        <f>'II. Inputs, Baseline Energy Mix'!$Q$101*'VII. Additional Data'!C48+'II. Inputs, Baseline Energy Mix'!$Q$102</f>
        <v>0</v>
      </c>
      <c r="O48" s="1015">
        <f>'II. Inputs, Baseline Energy Mix'!$R$101*'VII. Additional Data'!C48+'II. Inputs, Baseline Energy Mix'!$R$102</f>
        <v>0</v>
      </c>
      <c r="P48" s="1017">
        <f>'II. Inputs, Baseline Energy Mix'!$S$101*'VII. Additional Data'!C48+'II. Inputs, Baseline Energy Mix'!$S$102</f>
        <v>0</v>
      </c>
      <c r="Q48" s="1040">
        <v>52.486732281070203</v>
      </c>
      <c r="R48" s="1041">
        <v>22.067545979843651</v>
      </c>
      <c r="S48" s="1042">
        <v>0</v>
      </c>
      <c r="T48" s="1043">
        <f t="shared" si="1"/>
        <v>117.58161609753391</v>
      </c>
      <c r="U48" s="1044">
        <v>102.57167967667229</v>
      </c>
      <c r="V48" s="1045">
        <v>0</v>
      </c>
    </row>
    <row r="49" spans="3:22" x14ac:dyDescent="0.25">
      <c r="C49" s="1010">
        <f t="shared" si="0"/>
        <v>33</v>
      </c>
      <c r="D49" s="1010">
        <f t="shared" si="0"/>
        <v>2046</v>
      </c>
      <c r="E49" s="1011">
        <v>53.729163598129361</v>
      </c>
      <c r="F49" s="1012">
        <v>22.067545979843651</v>
      </c>
      <c r="G49" s="1013">
        <v>0</v>
      </c>
      <c r="H49" s="1014">
        <v>149.58251951500847</v>
      </c>
      <c r="I49" s="1015">
        <v>102.57167967667229</v>
      </c>
      <c r="J49" s="1016">
        <v>0</v>
      </c>
      <c r="K49" s="1011">
        <f>'II. Inputs, Baseline Energy Mix'!$N$101*'VII. Additional Data'!C49+'II. Inputs, Baseline Energy Mix'!$N$102</f>
        <v>0</v>
      </c>
      <c r="L49" s="1012">
        <f>'II. Inputs, Baseline Energy Mix'!$O$101*'VII. Additional Data'!C49+'II. Inputs, Baseline Energy Mix'!$O$102</f>
        <v>0</v>
      </c>
      <c r="M49" s="1013">
        <f>'II. Inputs, Baseline Energy Mix'!$P$101*'VII. Additional Data'!C49+'II. Inputs, Baseline Energy Mix'!$P$102</f>
        <v>0</v>
      </c>
      <c r="N49" s="1014">
        <f>'II. Inputs, Baseline Energy Mix'!$Q$101*'VII. Additional Data'!C49+'II. Inputs, Baseline Energy Mix'!$Q$102</f>
        <v>0</v>
      </c>
      <c r="O49" s="1015">
        <f>'II. Inputs, Baseline Energy Mix'!$R$101*'VII. Additional Data'!C49+'II. Inputs, Baseline Energy Mix'!$R$102</f>
        <v>0</v>
      </c>
      <c r="P49" s="1017">
        <f>'II. Inputs, Baseline Energy Mix'!$S$101*'VII. Additional Data'!C49+'II. Inputs, Baseline Energy Mix'!$S$102</f>
        <v>0</v>
      </c>
      <c r="Q49" s="1040">
        <v>53.729163598129361</v>
      </c>
      <c r="R49" s="1041">
        <v>22.670847365960029</v>
      </c>
      <c r="S49" s="1042">
        <v>0</v>
      </c>
      <c r="T49" s="1043">
        <f t="shared" si="1"/>
        <v>119.66601561200679</v>
      </c>
      <c r="U49" s="1044">
        <v>104.30867927206634</v>
      </c>
      <c r="V49" s="1045">
        <v>0</v>
      </c>
    </row>
    <row r="50" spans="3:22" x14ac:dyDescent="0.25">
      <c r="C50" s="1010">
        <f t="shared" ref="C50:D66" si="2">C49+1</f>
        <v>34</v>
      </c>
      <c r="D50" s="1010">
        <f t="shared" si="2"/>
        <v>2047</v>
      </c>
      <c r="E50" s="1011">
        <v>54.971594915188533</v>
      </c>
      <c r="F50" s="1012">
        <v>22.670847365960029</v>
      </c>
      <c r="G50" s="1013">
        <v>0</v>
      </c>
      <c r="H50" s="1014">
        <v>152.18801890809954</v>
      </c>
      <c r="I50" s="1015">
        <v>104.30867927206634</v>
      </c>
      <c r="J50" s="1016">
        <v>0</v>
      </c>
      <c r="K50" s="1011">
        <f>'II. Inputs, Baseline Energy Mix'!$N$101*'VII. Additional Data'!C50+'II. Inputs, Baseline Energy Mix'!$N$102</f>
        <v>0</v>
      </c>
      <c r="L50" s="1012">
        <f>'II. Inputs, Baseline Energy Mix'!$O$101*'VII. Additional Data'!C50+'II. Inputs, Baseline Energy Mix'!$O$102</f>
        <v>0</v>
      </c>
      <c r="M50" s="1013">
        <f>'II. Inputs, Baseline Energy Mix'!$P$101*'VII. Additional Data'!C50+'II. Inputs, Baseline Energy Mix'!$P$102</f>
        <v>0</v>
      </c>
      <c r="N50" s="1014">
        <f>'II. Inputs, Baseline Energy Mix'!$Q$101*'VII. Additional Data'!C50+'II. Inputs, Baseline Energy Mix'!$Q$102</f>
        <v>0</v>
      </c>
      <c r="O50" s="1015">
        <f>'II. Inputs, Baseline Energy Mix'!$R$101*'VII. Additional Data'!C50+'II. Inputs, Baseline Energy Mix'!$R$102</f>
        <v>0</v>
      </c>
      <c r="P50" s="1017">
        <f>'II. Inputs, Baseline Energy Mix'!$S$101*'VII. Additional Data'!C50+'II. Inputs, Baseline Energy Mix'!$S$102</f>
        <v>0</v>
      </c>
      <c r="Q50" s="1040">
        <v>54.971594915188533</v>
      </c>
      <c r="R50" s="1041">
        <v>23.274148752076407</v>
      </c>
      <c r="S50" s="1042">
        <v>0</v>
      </c>
      <c r="T50" s="1043">
        <f t="shared" si="1"/>
        <v>121.75041512647964</v>
      </c>
      <c r="U50" s="1044">
        <v>106.04567886746041</v>
      </c>
      <c r="V50" s="1045">
        <v>0</v>
      </c>
    </row>
    <row r="51" spans="3:22" x14ac:dyDescent="0.25">
      <c r="C51" s="1010">
        <f t="shared" si="2"/>
        <v>35</v>
      </c>
      <c r="D51" s="1010">
        <f t="shared" si="2"/>
        <v>2048</v>
      </c>
      <c r="E51" s="1011">
        <v>56.21402623224769</v>
      </c>
      <c r="F51" s="1012">
        <v>23.274148752076407</v>
      </c>
      <c r="G51" s="1013">
        <v>0</v>
      </c>
      <c r="H51" s="1014">
        <v>154.79351830119063</v>
      </c>
      <c r="I51" s="1015">
        <v>106.04567886746041</v>
      </c>
      <c r="J51" s="1016">
        <v>0</v>
      </c>
      <c r="K51" s="1011">
        <f>'II. Inputs, Baseline Energy Mix'!$N$101*'VII. Additional Data'!C51+'II. Inputs, Baseline Energy Mix'!$N$102</f>
        <v>0</v>
      </c>
      <c r="L51" s="1012">
        <f>'II. Inputs, Baseline Energy Mix'!$O$101*'VII. Additional Data'!C51+'II. Inputs, Baseline Energy Mix'!$O$102</f>
        <v>0</v>
      </c>
      <c r="M51" s="1013">
        <f>'II. Inputs, Baseline Energy Mix'!$P$101*'VII. Additional Data'!C51+'II. Inputs, Baseline Energy Mix'!$P$102</f>
        <v>0</v>
      </c>
      <c r="N51" s="1014">
        <f>'II. Inputs, Baseline Energy Mix'!$Q$101*'VII. Additional Data'!C51+'II. Inputs, Baseline Energy Mix'!$Q$102</f>
        <v>0</v>
      </c>
      <c r="O51" s="1015">
        <f>'II. Inputs, Baseline Energy Mix'!$R$101*'VII. Additional Data'!C51+'II. Inputs, Baseline Energy Mix'!$R$102</f>
        <v>0</v>
      </c>
      <c r="P51" s="1017">
        <f>'II. Inputs, Baseline Energy Mix'!$S$101*'VII. Additional Data'!C51+'II. Inputs, Baseline Energy Mix'!$S$102</f>
        <v>0</v>
      </c>
      <c r="Q51" s="1040">
        <v>56.21402623224769</v>
      </c>
      <c r="R51" s="1041">
        <v>23.877450138192785</v>
      </c>
      <c r="S51" s="1042">
        <v>0</v>
      </c>
      <c r="T51" s="1043">
        <f t="shared" si="1"/>
        <v>123.83481464095252</v>
      </c>
      <c r="U51" s="1044">
        <v>107.78267846285446</v>
      </c>
      <c r="V51" s="1045">
        <v>0</v>
      </c>
    </row>
    <row r="52" spans="3:22" x14ac:dyDescent="0.25">
      <c r="C52" s="1010">
        <f t="shared" si="2"/>
        <v>36</v>
      </c>
      <c r="D52" s="1010">
        <f t="shared" si="2"/>
        <v>2049</v>
      </c>
      <c r="E52" s="1011">
        <v>57.456457549306847</v>
      </c>
      <c r="F52" s="1012">
        <v>23.877450138192785</v>
      </c>
      <c r="G52" s="1013">
        <v>0</v>
      </c>
      <c r="H52" s="1014">
        <v>157.39901769428172</v>
      </c>
      <c r="I52" s="1015">
        <v>107.78267846285446</v>
      </c>
      <c r="J52" s="1016">
        <v>0</v>
      </c>
      <c r="K52" s="1011">
        <f>'II. Inputs, Baseline Energy Mix'!$N$101*'VII. Additional Data'!C52+'II. Inputs, Baseline Energy Mix'!$N$102</f>
        <v>0</v>
      </c>
      <c r="L52" s="1012">
        <f>'II. Inputs, Baseline Energy Mix'!$O$101*'VII. Additional Data'!C52+'II. Inputs, Baseline Energy Mix'!$O$102</f>
        <v>0</v>
      </c>
      <c r="M52" s="1013">
        <f>'II. Inputs, Baseline Energy Mix'!$P$101*'VII. Additional Data'!C52+'II. Inputs, Baseline Energy Mix'!$P$102</f>
        <v>0</v>
      </c>
      <c r="N52" s="1014">
        <f>'II. Inputs, Baseline Energy Mix'!$Q$101*'VII. Additional Data'!C52+'II. Inputs, Baseline Energy Mix'!$Q$102</f>
        <v>0</v>
      </c>
      <c r="O52" s="1015">
        <f>'II. Inputs, Baseline Energy Mix'!$R$101*'VII. Additional Data'!C52+'II. Inputs, Baseline Energy Mix'!$R$102</f>
        <v>0</v>
      </c>
      <c r="P52" s="1017">
        <f>'II. Inputs, Baseline Energy Mix'!$S$101*'VII. Additional Data'!C52+'II. Inputs, Baseline Energy Mix'!$S$102</f>
        <v>0</v>
      </c>
      <c r="Q52" s="1040">
        <v>57.456457549306847</v>
      </c>
      <c r="R52" s="1041">
        <v>24.480751524309163</v>
      </c>
      <c r="S52" s="1042">
        <v>0</v>
      </c>
      <c r="T52" s="1043">
        <f t="shared" si="1"/>
        <v>125.91921415542538</v>
      </c>
      <c r="U52" s="1044">
        <v>109.51967805824852</v>
      </c>
      <c r="V52" s="1045">
        <v>0</v>
      </c>
    </row>
    <row r="53" spans="3:22" x14ac:dyDescent="0.25">
      <c r="C53" s="1010">
        <f t="shared" si="2"/>
        <v>37</v>
      </c>
      <c r="D53" s="1010">
        <f t="shared" si="2"/>
        <v>2050</v>
      </c>
      <c r="E53" s="1011">
        <v>58.698888866366019</v>
      </c>
      <c r="F53" s="1012">
        <v>24.480751524309163</v>
      </c>
      <c r="G53" s="1013">
        <v>0</v>
      </c>
      <c r="H53" s="1014">
        <v>160.00451708737279</v>
      </c>
      <c r="I53" s="1015">
        <v>109.51967805824852</v>
      </c>
      <c r="J53" s="1016">
        <v>0</v>
      </c>
      <c r="K53" s="1011">
        <f>'II. Inputs, Baseline Energy Mix'!$N$101*'VII. Additional Data'!C53+'II. Inputs, Baseline Energy Mix'!$N$102</f>
        <v>0</v>
      </c>
      <c r="L53" s="1012">
        <f>'II. Inputs, Baseline Energy Mix'!$O$101*'VII. Additional Data'!C53+'II. Inputs, Baseline Energy Mix'!$O$102</f>
        <v>0</v>
      </c>
      <c r="M53" s="1013">
        <f>'II. Inputs, Baseline Energy Mix'!$P$101*'VII. Additional Data'!C53+'II. Inputs, Baseline Energy Mix'!$P$102</f>
        <v>0</v>
      </c>
      <c r="N53" s="1014">
        <f>'II. Inputs, Baseline Energy Mix'!$Q$101*'VII. Additional Data'!C53+'II. Inputs, Baseline Energy Mix'!$Q$102</f>
        <v>0</v>
      </c>
      <c r="O53" s="1015">
        <f>'II. Inputs, Baseline Energy Mix'!$R$101*'VII. Additional Data'!C53+'II. Inputs, Baseline Energy Mix'!$R$102</f>
        <v>0</v>
      </c>
      <c r="P53" s="1017">
        <f>'II. Inputs, Baseline Energy Mix'!$S$101*'VII. Additional Data'!C53+'II. Inputs, Baseline Energy Mix'!$S$102</f>
        <v>0</v>
      </c>
      <c r="Q53" s="1040">
        <v>58.698888866366019</v>
      </c>
      <c r="R53" s="1041">
        <v>25.084052910425534</v>
      </c>
      <c r="S53" s="1042">
        <v>0</v>
      </c>
      <c r="T53" s="1043">
        <f t="shared" si="1"/>
        <v>128.00361366989824</v>
      </c>
      <c r="U53" s="1044">
        <v>111.25667765364257</v>
      </c>
      <c r="V53" s="1045">
        <v>0</v>
      </c>
    </row>
    <row r="54" spans="3:22" x14ac:dyDescent="0.25">
      <c r="C54" s="1010">
        <f t="shared" si="2"/>
        <v>38</v>
      </c>
      <c r="D54" s="1010">
        <f t="shared" si="2"/>
        <v>2051</v>
      </c>
      <c r="E54" s="1011">
        <v>59.941320183425177</v>
      </c>
      <c r="F54" s="1012">
        <v>25.084052910425534</v>
      </c>
      <c r="G54" s="1013">
        <v>0</v>
      </c>
      <c r="H54" s="1014">
        <v>162.61001648046388</v>
      </c>
      <c r="I54" s="1015">
        <v>111.25667765364257</v>
      </c>
      <c r="J54" s="1016">
        <v>0</v>
      </c>
      <c r="K54" s="1011">
        <f>'II. Inputs, Baseline Energy Mix'!$N$101*'VII. Additional Data'!C54+'II. Inputs, Baseline Energy Mix'!$N$102</f>
        <v>0</v>
      </c>
      <c r="L54" s="1012">
        <f>'II. Inputs, Baseline Energy Mix'!$O$101*'VII. Additional Data'!C54+'II. Inputs, Baseline Energy Mix'!$O$102</f>
        <v>0</v>
      </c>
      <c r="M54" s="1013">
        <f>'II. Inputs, Baseline Energy Mix'!$P$101*'VII. Additional Data'!C54+'II. Inputs, Baseline Energy Mix'!$P$102</f>
        <v>0</v>
      </c>
      <c r="N54" s="1014">
        <f>'II. Inputs, Baseline Energy Mix'!$Q$101*'VII. Additional Data'!C54+'II. Inputs, Baseline Energy Mix'!$Q$102</f>
        <v>0</v>
      </c>
      <c r="O54" s="1015">
        <f>'II. Inputs, Baseline Energy Mix'!$R$101*'VII. Additional Data'!C54+'II. Inputs, Baseline Energy Mix'!$R$102</f>
        <v>0</v>
      </c>
      <c r="P54" s="1017">
        <f>'II. Inputs, Baseline Energy Mix'!$S$101*'VII. Additional Data'!C54+'II. Inputs, Baseline Energy Mix'!$S$102</f>
        <v>0</v>
      </c>
      <c r="Q54" s="1040">
        <v>59.941320183425177</v>
      </c>
      <c r="R54" s="1041">
        <v>25.687354296541912</v>
      </c>
      <c r="S54" s="1042">
        <v>0</v>
      </c>
      <c r="T54" s="1043">
        <f t="shared" si="1"/>
        <v>130.08801318437111</v>
      </c>
      <c r="U54" s="1044">
        <v>112.99367724903662</v>
      </c>
      <c r="V54" s="1045">
        <v>0</v>
      </c>
    </row>
    <row r="55" spans="3:22" x14ac:dyDescent="0.25">
      <c r="C55" s="1010">
        <f t="shared" si="2"/>
        <v>39</v>
      </c>
      <c r="D55" s="1010">
        <f t="shared" si="2"/>
        <v>2052</v>
      </c>
      <c r="E55" s="1011">
        <v>61.183751500484334</v>
      </c>
      <c r="F55" s="1012">
        <v>25.687354296541912</v>
      </c>
      <c r="G55" s="1013">
        <v>0</v>
      </c>
      <c r="H55" s="1014">
        <v>165.21551587355495</v>
      </c>
      <c r="I55" s="1015">
        <v>112.99367724903662</v>
      </c>
      <c r="J55" s="1016">
        <v>0</v>
      </c>
      <c r="K55" s="1011">
        <f>'II. Inputs, Baseline Energy Mix'!$N$101*'VII. Additional Data'!C55+'II. Inputs, Baseline Energy Mix'!$N$102</f>
        <v>0</v>
      </c>
      <c r="L55" s="1012">
        <f>'II. Inputs, Baseline Energy Mix'!$O$101*'VII. Additional Data'!C55+'II. Inputs, Baseline Energy Mix'!$O$102</f>
        <v>0</v>
      </c>
      <c r="M55" s="1013">
        <f>'II. Inputs, Baseline Energy Mix'!$P$101*'VII. Additional Data'!C55+'II. Inputs, Baseline Energy Mix'!$P$102</f>
        <v>0</v>
      </c>
      <c r="N55" s="1014">
        <f>'II. Inputs, Baseline Energy Mix'!$Q$101*'VII. Additional Data'!C55+'II. Inputs, Baseline Energy Mix'!$Q$102</f>
        <v>0</v>
      </c>
      <c r="O55" s="1015">
        <f>'II. Inputs, Baseline Energy Mix'!$R$101*'VII. Additional Data'!C55+'II. Inputs, Baseline Energy Mix'!$R$102</f>
        <v>0</v>
      </c>
      <c r="P55" s="1017">
        <f>'II. Inputs, Baseline Energy Mix'!$S$101*'VII. Additional Data'!C55+'II. Inputs, Baseline Energy Mix'!$S$102</f>
        <v>0</v>
      </c>
      <c r="Q55" s="1040">
        <v>61.183751500484334</v>
      </c>
      <c r="R55" s="1041">
        <v>26.29065568265829</v>
      </c>
      <c r="S55" s="1042">
        <v>0</v>
      </c>
      <c r="T55" s="1043">
        <f t="shared" si="1"/>
        <v>132.17241269884397</v>
      </c>
      <c r="U55" s="1044">
        <v>114.73067684443068</v>
      </c>
      <c r="V55" s="1045">
        <v>0</v>
      </c>
    </row>
    <row r="56" spans="3:22" x14ac:dyDescent="0.25">
      <c r="C56" s="1010">
        <f t="shared" si="2"/>
        <v>40</v>
      </c>
      <c r="D56" s="1010">
        <f t="shared" si="2"/>
        <v>2053</v>
      </c>
      <c r="E56" s="1011">
        <v>62.426182817543506</v>
      </c>
      <c r="F56" s="1012">
        <v>26.29065568265829</v>
      </c>
      <c r="G56" s="1013">
        <v>0</v>
      </c>
      <c r="H56" s="1014">
        <v>167.82101526664604</v>
      </c>
      <c r="I56" s="1015">
        <v>114.73067684443068</v>
      </c>
      <c r="J56" s="1016">
        <v>0</v>
      </c>
      <c r="K56" s="1011">
        <f>'II. Inputs, Baseline Energy Mix'!$N$101*'VII. Additional Data'!C56+'II. Inputs, Baseline Energy Mix'!$N$102</f>
        <v>0</v>
      </c>
      <c r="L56" s="1012">
        <f>'II. Inputs, Baseline Energy Mix'!$O$101*'VII. Additional Data'!C56+'II. Inputs, Baseline Energy Mix'!$O$102</f>
        <v>0</v>
      </c>
      <c r="M56" s="1013">
        <f>'II. Inputs, Baseline Energy Mix'!$P$101*'VII. Additional Data'!C56+'II. Inputs, Baseline Energy Mix'!$P$102</f>
        <v>0</v>
      </c>
      <c r="N56" s="1014">
        <f>'II. Inputs, Baseline Energy Mix'!$Q$101*'VII. Additional Data'!C56+'II. Inputs, Baseline Energy Mix'!$Q$102</f>
        <v>0</v>
      </c>
      <c r="O56" s="1015">
        <f>'II. Inputs, Baseline Energy Mix'!$R$101*'VII. Additional Data'!C56+'II. Inputs, Baseline Energy Mix'!$R$102</f>
        <v>0</v>
      </c>
      <c r="P56" s="1017">
        <f>'II. Inputs, Baseline Energy Mix'!$S$101*'VII. Additional Data'!C56+'II. Inputs, Baseline Energy Mix'!$S$102</f>
        <v>0</v>
      </c>
      <c r="Q56" s="1040">
        <v>62.426182817543506</v>
      </c>
      <c r="R56" s="1041">
        <v>26.893957068774668</v>
      </c>
      <c r="S56" s="1042">
        <v>0</v>
      </c>
      <c r="T56" s="1043">
        <f t="shared" si="1"/>
        <v>134.25681221331683</v>
      </c>
      <c r="U56" s="1044">
        <v>116.46767643982473</v>
      </c>
      <c r="V56" s="1045">
        <v>0</v>
      </c>
    </row>
    <row r="57" spans="3:22" x14ac:dyDescent="0.25">
      <c r="C57" s="1010">
        <f t="shared" si="2"/>
        <v>41</v>
      </c>
      <c r="D57" s="1018"/>
      <c r="E57" s="1011"/>
      <c r="F57" s="1012"/>
      <c r="G57" s="1013"/>
      <c r="H57" s="1014"/>
      <c r="I57" s="1015"/>
      <c r="J57" s="1016"/>
      <c r="K57" s="1011"/>
      <c r="L57" s="1012"/>
      <c r="M57" s="1013"/>
      <c r="N57" s="1014"/>
      <c r="O57" s="1015"/>
      <c r="P57" s="1017"/>
      <c r="Q57" s="1040"/>
      <c r="R57" s="1041"/>
      <c r="S57" s="1042"/>
      <c r="T57" s="1043"/>
      <c r="U57" s="1044"/>
      <c r="V57" s="1045"/>
    </row>
    <row r="58" spans="3:22" x14ac:dyDescent="0.25">
      <c r="C58" s="1010">
        <f t="shared" si="2"/>
        <v>42</v>
      </c>
      <c r="D58" s="1018"/>
      <c r="E58" s="1011"/>
      <c r="F58" s="1012"/>
      <c r="G58" s="1013"/>
      <c r="H58" s="1014"/>
      <c r="I58" s="1015"/>
      <c r="J58" s="1016"/>
      <c r="K58" s="1011"/>
      <c r="L58" s="1012"/>
      <c r="M58" s="1013"/>
      <c r="N58" s="1014"/>
      <c r="O58" s="1015"/>
      <c r="P58" s="1017"/>
      <c r="Q58" s="1040"/>
      <c r="R58" s="1041"/>
      <c r="S58" s="1042"/>
      <c r="T58" s="1043"/>
      <c r="U58" s="1044"/>
      <c r="V58" s="1045"/>
    </row>
    <row r="59" spans="3:22" x14ac:dyDescent="0.25">
      <c r="C59" s="1010">
        <f t="shared" si="2"/>
        <v>43</v>
      </c>
      <c r="D59" s="1018"/>
      <c r="E59" s="1011"/>
      <c r="F59" s="1012"/>
      <c r="G59" s="1013"/>
      <c r="H59" s="1014"/>
      <c r="I59" s="1015"/>
      <c r="J59" s="1016"/>
      <c r="K59" s="1011"/>
      <c r="L59" s="1012"/>
      <c r="M59" s="1013"/>
      <c r="N59" s="1014"/>
      <c r="O59" s="1015"/>
      <c r="P59" s="1017"/>
      <c r="Q59" s="1040"/>
      <c r="R59" s="1041"/>
      <c r="S59" s="1042"/>
      <c r="T59" s="1043"/>
      <c r="U59" s="1044"/>
      <c r="V59" s="1045"/>
    </row>
    <row r="60" spans="3:22" x14ac:dyDescent="0.25">
      <c r="C60" s="1010">
        <f t="shared" si="2"/>
        <v>44</v>
      </c>
      <c r="D60" s="1018"/>
      <c r="E60" s="1011"/>
      <c r="F60" s="1012"/>
      <c r="G60" s="1013"/>
      <c r="H60" s="1014"/>
      <c r="I60" s="1015"/>
      <c r="J60" s="1016"/>
      <c r="K60" s="1011"/>
      <c r="L60" s="1012"/>
      <c r="M60" s="1013"/>
      <c r="N60" s="1014"/>
      <c r="O60" s="1015"/>
      <c r="P60" s="1017"/>
      <c r="Q60" s="1040"/>
      <c r="R60" s="1041"/>
      <c r="S60" s="1042"/>
      <c r="T60" s="1043"/>
      <c r="U60" s="1044"/>
      <c r="V60" s="1045"/>
    </row>
    <row r="61" spans="3:22" x14ac:dyDescent="0.25">
      <c r="C61" s="1010">
        <f t="shared" si="2"/>
        <v>45</v>
      </c>
      <c r="D61" s="1018"/>
      <c r="E61" s="1011"/>
      <c r="F61" s="1012"/>
      <c r="G61" s="1013"/>
      <c r="H61" s="1014"/>
      <c r="I61" s="1015"/>
      <c r="J61" s="1016"/>
      <c r="K61" s="1011"/>
      <c r="L61" s="1012"/>
      <c r="M61" s="1013"/>
      <c r="N61" s="1014"/>
      <c r="O61" s="1015"/>
      <c r="P61" s="1017"/>
      <c r="Q61" s="1040"/>
      <c r="R61" s="1041"/>
      <c r="S61" s="1042"/>
      <c r="T61" s="1043"/>
      <c r="U61" s="1044"/>
      <c r="V61" s="1045"/>
    </row>
    <row r="62" spans="3:22" x14ac:dyDescent="0.25">
      <c r="C62" s="1010">
        <f t="shared" si="2"/>
        <v>46</v>
      </c>
      <c r="D62" s="1018"/>
      <c r="E62" s="1011"/>
      <c r="F62" s="1012"/>
      <c r="G62" s="1013"/>
      <c r="H62" s="1014"/>
      <c r="I62" s="1015"/>
      <c r="J62" s="1016"/>
      <c r="K62" s="1011"/>
      <c r="L62" s="1012"/>
      <c r="M62" s="1013"/>
      <c r="N62" s="1014"/>
      <c r="O62" s="1015"/>
      <c r="P62" s="1017"/>
      <c r="Q62" s="1040"/>
      <c r="R62" s="1041"/>
      <c r="S62" s="1042"/>
      <c r="T62" s="1043"/>
      <c r="U62" s="1044"/>
      <c r="V62" s="1045"/>
    </row>
    <row r="63" spans="3:22" x14ac:dyDescent="0.25">
      <c r="C63" s="1010">
        <f t="shared" si="2"/>
        <v>47</v>
      </c>
      <c r="D63" s="1018"/>
      <c r="E63" s="154"/>
      <c r="F63" s="1019"/>
      <c r="G63" s="1020"/>
      <c r="H63" s="1021"/>
      <c r="I63" s="1022"/>
      <c r="J63" s="1023"/>
      <c r="K63" s="154"/>
      <c r="L63" s="1019"/>
      <c r="M63" s="1020"/>
      <c r="N63" s="1021"/>
      <c r="O63" s="1022"/>
      <c r="P63" s="158"/>
      <c r="Q63" s="1046"/>
      <c r="R63" s="1047"/>
      <c r="S63" s="1048"/>
      <c r="T63" s="1049"/>
      <c r="U63" s="1050"/>
      <c r="V63" s="1051"/>
    </row>
    <row r="64" spans="3:22" x14ac:dyDescent="0.25">
      <c r="C64" s="1010">
        <f t="shared" si="2"/>
        <v>48</v>
      </c>
      <c r="D64" s="1018"/>
      <c r="E64" s="154"/>
      <c r="F64" s="1019"/>
      <c r="G64" s="1020"/>
      <c r="H64" s="1021"/>
      <c r="I64" s="1022"/>
      <c r="J64" s="1023"/>
      <c r="K64" s="154"/>
      <c r="L64" s="1019"/>
      <c r="M64" s="1020"/>
      <c r="N64" s="1021"/>
      <c r="O64" s="1022"/>
      <c r="P64" s="158"/>
      <c r="Q64" s="1046"/>
      <c r="R64" s="1047"/>
      <c r="S64" s="1048"/>
      <c r="T64" s="1049"/>
      <c r="U64" s="1050"/>
      <c r="V64" s="1051"/>
    </row>
    <row r="65" spans="1:22" x14ac:dyDescent="0.25">
      <c r="C65" s="1010">
        <f t="shared" si="2"/>
        <v>49</v>
      </c>
      <c r="D65" s="1018"/>
      <c r="E65" s="154"/>
      <c r="F65" s="1019"/>
      <c r="G65" s="1020"/>
      <c r="H65" s="1021"/>
      <c r="I65" s="1022"/>
      <c r="J65" s="1023"/>
      <c r="K65" s="154"/>
      <c r="L65" s="1019"/>
      <c r="M65" s="1020"/>
      <c r="N65" s="1021"/>
      <c r="O65" s="1022"/>
      <c r="P65" s="158"/>
      <c r="Q65" s="1046"/>
      <c r="R65" s="1047"/>
      <c r="S65" s="1048"/>
      <c r="T65" s="1049"/>
      <c r="U65" s="1050"/>
      <c r="V65" s="1051"/>
    </row>
    <row r="66" spans="1:22" x14ac:dyDescent="0.25">
      <c r="C66" s="1024">
        <f t="shared" si="2"/>
        <v>50</v>
      </c>
      <c r="D66" s="1025"/>
      <c r="E66" s="1026"/>
      <c r="F66" s="1027"/>
      <c r="G66" s="1028"/>
      <c r="H66" s="1029"/>
      <c r="I66" s="1030"/>
      <c r="J66" s="1031"/>
      <c r="K66" s="1026"/>
      <c r="L66" s="1027"/>
      <c r="M66" s="1028"/>
      <c r="N66" s="1029"/>
      <c r="O66" s="1030"/>
      <c r="P66" s="1032"/>
      <c r="Q66" s="1052"/>
      <c r="R66" s="1053"/>
      <c r="S66" s="1054"/>
      <c r="T66" s="1055"/>
      <c r="U66" s="1056"/>
      <c r="V66" s="1057"/>
    </row>
    <row r="67" spans="1:22" x14ac:dyDescent="0.25"/>
    <row r="68" spans="1:22" x14ac:dyDescent="0.25"/>
    <row r="69" spans="1:22" x14ac:dyDescent="0.25"/>
    <row r="70" spans="1:22" x14ac:dyDescent="0.25">
      <c r="A70" s="782" t="s">
        <v>337</v>
      </c>
      <c r="B70" s="782"/>
      <c r="C70" s="782"/>
      <c r="D70" s="782"/>
      <c r="E70" s="782"/>
      <c r="F70" s="782"/>
      <c r="G70" s="782"/>
      <c r="H70" s="782"/>
      <c r="I70" s="782"/>
      <c r="J70" s="782"/>
      <c r="K70" s="785"/>
      <c r="L70" s="783"/>
      <c r="M70" s="783"/>
      <c r="N70" s="783"/>
      <c r="O70" s="783"/>
      <c r="P70" s="783"/>
      <c r="Q70" s="783"/>
      <c r="R70" s="783"/>
      <c r="S70" s="783"/>
      <c r="T70" s="783"/>
      <c r="U70" s="783"/>
      <c r="V70" s="783"/>
    </row>
    <row r="71" spans="1:22" x14ac:dyDescent="0.25"/>
    <row r="72" spans="1:22" x14ac:dyDescent="0.25">
      <c r="C72" s="1033" t="s">
        <v>266</v>
      </c>
      <c r="D72" s="1034" t="s">
        <v>334</v>
      </c>
    </row>
    <row r="73" spans="1:22" x14ac:dyDescent="0.25">
      <c r="C73" s="1018"/>
      <c r="D73" s="1035" t="s">
        <v>333</v>
      </c>
    </row>
    <row r="74" spans="1:22" x14ac:dyDescent="0.25">
      <c r="C74" s="1025"/>
      <c r="D74" s="1036" t="s">
        <v>627</v>
      </c>
    </row>
    <row r="75" spans="1:22" s="182" customFormat="1" x14ac:dyDescent="0.25">
      <c r="C75" s="1037">
        <v>1</v>
      </c>
      <c r="D75" s="1210">
        <v>6995.6040000000012</v>
      </c>
    </row>
    <row r="76" spans="1:22" x14ac:dyDescent="0.25">
      <c r="C76" s="1038">
        <v>2</v>
      </c>
      <c r="D76" s="1210">
        <v>11542.74</v>
      </c>
    </row>
    <row r="77" spans="1:22" x14ac:dyDescent="0.25">
      <c r="C77" s="1038">
        <v>3</v>
      </c>
      <c r="D77" s="1210">
        <v>16089.876000000002</v>
      </c>
    </row>
    <row r="78" spans="1:22" x14ac:dyDescent="0.25">
      <c r="C78" s="1038">
        <v>4</v>
      </c>
      <c r="D78" s="1210">
        <v>20637.012000000002</v>
      </c>
    </row>
    <row r="79" spans="1:22" x14ac:dyDescent="0.25">
      <c r="C79" s="1038">
        <v>5</v>
      </c>
      <c r="D79" s="1210">
        <v>25184.148000000005</v>
      </c>
    </row>
    <row r="80" spans="1:22" x14ac:dyDescent="0.25">
      <c r="C80" s="1038">
        <v>6</v>
      </c>
      <c r="D80" s="1210">
        <v>29731.284000000007</v>
      </c>
    </row>
    <row r="81" spans="3:4" x14ac:dyDescent="0.25">
      <c r="C81" s="1038">
        <v>7</v>
      </c>
      <c r="D81" s="1210">
        <v>34278.420000000006</v>
      </c>
    </row>
    <row r="82" spans="3:4" x14ac:dyDescent="0.25">
      <c r="C82" s="1038">
        <v>8</v>
      </c>
      <c r="D82" s="1210">
        <v>38825.556000000004</v>
      </c>
    </row>
    <row r="83" spans="3:4" x14ac:dyDescent="0.25">
      <c r="C83" s="1038">
        <v>9</v>
      </c>
      <c r="D83" s="1210">
        <v>43372.692000000003</v>
      </c>
    </row>
    <row r="84" spans="3:4" x14ac:dyDescent="0.25">
      <c r="C84" s="1038">
        <v>10</v>
      </c>
      <c r="D84" s="1210">
        <v>47919.828000000001</v>
      </c>
    </row>
    <row r="85" spans="3:4" x14ac:dyDescent="0.25">
      <c r="C85" s="1038">
        <v>11</v>
      </c>
      <c r="D85" s="1210">
        <v>52466.964000000007</v>
      </c>
    </row>
    <row r="86" spans="3:4" x14ac:dyDescent="0.25">
      <c r="C86" s="1038">
        <v>12</v>
      </c>
      <c r="D86" s="1210">
        <v>57014.100000000013</v>
      </c>
    </row>
    <row r="87" spans="3:4" x14ac:dyDescent="0.25">
      <c r="C87" s="1038">
        <v>13</v>
      </c>
      <c r="D87" s="1210">
        <v>61561.236000000004</v>
      </c>
    </row>
    <row r="88" spans="3:4" x14ac:dyDescent="0.25">
      <c r="C88" s="1038">
        <v>14</v>
      </c>
      <c r="D88" s="1210">
        <v>66108.372000000018</v>
      </c>
    </row>
    <row r="89" spans="3:4" x14ac:dyDescent="0.25">
      <c r="C89" s="1038">
        <v>15</v>
      </c>
      <c r="D89" s="1210">
        <v>70655.508000000002</v>
      </c>
    </row>
    <row r="90" spans="3:4" x14ac:dyDescent="0.25">
      <c r="C90" s="1038">
        <v>16</v>
      </c>
      <c r="D90" s="1210">
        <v>75202.644000000015</v>
      </c>
    </row>
    <row r="91" spans="3:4" x14ac:dyDescent="0.25">
      <c r="C91" s="1038">
        <v>17</v>
      </c>
      <c r="D91" s="1210">
        <v>79749.780000000013</v>
      </c>
    </row>
    <row r="92" spans="3:4" x14ac:dyDescent="0.25">
      <c r="C92" s="1038">
        <v>18</v>
      </c>
      <c r="D92" s="1210">
        <v>84296.916000000012</v>
      </c>
    </row>
    <row r="93" spans="3:4" x14ac:dyDescent="0.25">
      <c r="C93" s="1038">
        <v>19</v>
      </c>
      <c r="D93" s="1210">
        <v>88844.052000000011</v>
      </c>
    </row>
    <row r="94" spans="3:4" x14ac:dyDescent="0.25">
      <c r="C94" s="1039">
        <v>20</v>
      </c>
      <c r="D94" s="1211">
        <v>93391.187999999995</v>
      </c>
    </row>
    <row r="95" spans="3:4" x14ac:dyDescent="0.25"/>
    <row r="96" spans="3:4" hidden="1" x14ac:dyDescent="0.25"/>
    <row r="97" hidden="1" x14ac:dyDescent="0.2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verticalDpi="0"/>
  <headerFooter>
    <oddFooter>&amp;L&amp;A&amp;R&amp;P of &amp;N</oddFooter>
  </headerFooter>
  <rowBreaks count="1" manualBreakCount="1">
    <brk id="67"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85" zoomScaleNormal="85" zoomScalePageLayoutView="85" workbookViewId="0"/>
  </sheetViews>
  <sheetFormatPr defaultColWidth="0" defaultRowHeight="12.75" customHeight="1" zeroHeight="1" x14ac:dyDescent="0.25"/>
  <cols>
    <col min="1" max="5" width="2.6640625" style="734" customWidth="1"/>
    <col min="6" max="16" width="12.6640625" style="734" customWidth="1"/>
    <col min="17" max="17" width="2.44140625" style="734" customWidth="1"/>
    <col min="18" max="258" width="0" style="734" hidden="1"/>
    <col min="259" max="259" width="3.33203125" style="734" hidden="1" customWidth="1"/>
    <col min="260" max="262" width="2.6640625" style="734" hidden="1" customWidth="1"/>
    <col min="263" max="272" width="12.6640625" style="734" hidden="1" customWidth="1"/>
    <col min="273" max="273" width="2.6640625" style="734" hidden="1" customWidth="1"/>
    <col min="274" max="514" width="0" style="734" hidden="1"/>
    <col min="515" max="515" width="3.33203125" style="734" hidden="1" customWidth="1"/>
    <col min="516" max="518" width="2.6640625" style="734" hidden="1" customWidth="1"/>
    <col min="519" max="528" width="12.6640625" style="734" hidden="1" customWidth="1"/>
    <col min="529" max="529" width="2.6640625" style="734" hidden="1" customWidth="1"/>
    <col min="530" max="770" width="0" style="734" hidden="1"/>
    <col min="771" max="771" width="3.33203125" style="734" hidden="1" customWidth="1"/>
    <col min="772" max="774" width="2.6640625" style="734" hidden="1" customWidth="1"/>
    <col min="775" max="784" width="12.6640625" style="734" hidden="1" customWidth="1"/>
    <col min="785" max="785" width="2.6640625" style="734" hidden="1" customWidth="1"/>
    <col min="786" max="1026" width="0" style="734" hidden="1"/>
    <col min="1027" max="1027" width="3.33203125" style="734" hidden="1" customWidth="1"/>
    <col min="1028" max="1030" width="2.6640625" style="734" hidden="1" customWidth="1"/>
    <col min="1031" max="1040" width="12.6640625" style="734" hidden="1" customWidth="1"/>
    <col min="1041" max="1041" width="2.6640625" style="734" hidden="1" customWidth="1"/>
    <col min="1042" max="1282" width="0" style="734" hidden="1"/>
    <col min="1283" max="1283" width="3.33203125" style="734" hidden="1" customWidth="1"/>
    <col min="1284" max="1286" width="2.6640625" style="734" hidden="1" customWidth="1"/>
    <col min="1287" max="1296" width="12.6640625" style="734" hidden="1" customWidth="1"/>
    <col min="1297" max="1297" width="2.6640625" style="734" hidden="1" customWidth="1"/>
    <col min="1298" max="1538" width="0" style="734" hidden="1"/>
    <col min="1539" max="1539" width="3.33203125" style="734" hidden="1" customWidth="1"/>
    <col min="1540" max="1542" width="2.6640625" style="734" hidden="1" customWidth="1"/>
    <col min="1543" max="1552" width="12.6640625" style="734" hidden="1" customWidth="1"/>
    <col min="1553" max="1553" width="2.6640625" style="734" hidden="1" customWidth="1"/>
    <col min="1554" max="1794" width="0" style="734" hidden="1"/>
    <col min="1795" max="1795" width="3.33203125" style="734" hidden="1" customWidth="1"/>
    <col min="1796" max="1798" width="2.6640625" style="734" hidden="1" customWidth="1"/>
    <col min="1799" max="1808" width="12.6640625" style="734" hidden="1" customWidth="1"/>
    <col min="1809" max="1809" width="2.6640625" style="734" hidden="1" customWidth="1"/>
    <col min="1810" max="2050" width="0" style="734" hidden="1"/>
    <col min="2051" max="2051" width="3.33203125" style="734" hidden="1" customWidth="1"/>
    <col min="2052" max="2054" width="2.6640625" style="734" hidden="1" customWidth="1"/>
    <col min="2055" max="2064" width="12.6640625" style="734" hidden="1" customWidth="1"/>
    <col min="2065" max="2065" width="2.6640625" style="734" hidden="1" customWidth="1"/>
    <col min="2066" max="2306" width="0" style="734" hidden="1"/>
    <col min="2307" max="2307" width="3.33203125" style="734" hidden="1" customWidth="1"/>
    <col min="2308" max="2310" width="2.6640625" style="734" hidden="1" customWidth="1"/>
    <col min="2311" max="2320" width="12.6640625" style="734" hidden="1" customWidth="1"/>
    <col min="2321" max="2321" width="2.6640625" style="734" hidden="1" customWidth="1"/>
    <col min="2322" max="2562" width="0" style="734" hidden="1"/>
    <col min="2563" max="2563" width="3.33203125" style="734" hidden="1" customWidth="1"/>
    <col min="2564" max="2566" width="2.6640625" style="734" hidden="1" customWidth="1"/>
    <col min="2567" max="2576" width="12.6640625" style="734" hidden="1" customWidth="1"/>
    <col min="2577" max="2577" width="2.6640625" style="734" hidden="1" customWidth="1"/>
    <col min="2578" max="2818" width="0" style="734" hidden="1"/>
    <col min="2819" max="2819" width="3.33203125" style="734" hidden="1" customWidth="1"/>
    <col min="2820" max="2822" width="2.6640625" style="734" hidden="1" customWidth="1"/>
    <col min="2823" max="2832" width="12.6640625" style="734" hidden="1" customWidth="1"/>
    <col min="2833" max="2833" width="2.6640625" style="734" hidden="1" customWidth="1"/>
    <col min="2834" max="3074" width="0" style="734" hidden="1"/>
    <col min="3075" max="3075" width="3.33203125" style="734" hidden="1" customWidth="1"/>
    <col min="3076" max="3078" width="2.6640625" style="734" hidden="1" customWidth="1"/>
    <col min="3079" max="3088" width="12.6640625" style="734" hidden="1" customWidth="1"/>
    <col min="3089" max="3089" width="2.6640625" style="734" hidden="1" customWidth="1"/>
    <col min="3090" max="3330" width="0" style="734" hidden="1"/>
    <col min="3331" max="3331" width="3.33203125" style="734" hidden="1" customWidth="1"/>
    <col min="3332" max="3334" width="2.6640625" style="734" hidden="1" customWidth="1"/>
    <col min="3335" max="3344" width="12.6640625" style="734" hidden="1" customWidth="1"/>
    <col min="3345" max="3345" width="2.6640625" style="734" hidden="1" customWidth="1"/>
    <col min="3346" max="3586" width="0" style="734" hidden="1"/>
    <col min="3587" max="3587" width="3.33203125" style="734" hidden="1" customWidth="1"/>
    <col min="3588" max="3590" width="2.6640625" style="734" hidden="1" customWidth="1"/>
    <col min="3591" max="3600" width="12.6640625" style="734" hidden="1" customWidth="1"/>
    <col min="3601" max="3601" width="2.6640625" style="734" hidden="1" customWidth="1"/>
    <col min="3602" max="3842" width="0" style="734" hidden="1"/>
    <col min="3843" max="3843" width="3.33203125" style="734" hidden="1" customWidth="1"/>
    <col min="3844" max="3846" width="2.6640625" style="734" hidden="1" customWidth="1"/>
    <col min="3847" max="3856" width="12.6640625" style="734" hidden="1" customWidth="1"/>
    <col min="3857" max="3857" width="2.6640625" style="734" hidden="1" customWidth="1"/>
    <col min="3858" max="4098" width="0" style="734" hidden="1"/>
    <col min="4099" max="4099" width="3.33203125" style="734" hidden="1" customWidth="1"/>
    <col min="4100" max="4102" width="2.6640625" style="734" hidden="1" customWidth="1"/>
    <col min="4103" max="4112" width="12.6640625" style="734" hidden="1" customWidth="1"/>
    <col min="4113" max="4113" width="2.6640625" style="734" hidden="1" customWidth="1"/>
    <col min="4114" max="4354" width="0" style="734" hidden="1"/>
    <col min="4355" max="4355" width="3.33203125" style="734" hidden="1" customWidth="1"/>
    <col min="4356" max="4358" width="2.6640625" style="734" hidden="1" customWidth="1"/>
    <col min="4359" max="4368" width="12.6640625" style="734" hidden="1" customWidth="1"/>
    <col min="4369" max="4369" width="2.6640625" style="734" hidden="1" customWidth="1"/>
    <col min="4370" max="4610" width="0" style="734" hidden="1"/>
    <col min="4611" max="4611" width="3.33203125" style="734" hidden="1" customWidth="1"/>
    <col min="4612" max="4614" width="2.6640625" style="734" hidden="1" customWidth="1"/>
    <col min="4615" max="4624" width="12.6640625" style="734" hidden="1" customWidth="1"/>
    <col min="4625" max="4625" width="2.6640625" style="734" hidden="1" customWidth="1"/>
    <col min="4626" max="4866" width="0" style="734" hidden="1"/>
    <col min="4867" max="4867" width="3.33203125" style="734" hidden="1" customWidth="1"/>
    <col min="4868" max="4870" width="2.6640625" style="734" hidden="1" customWidth="1"/>
    <col min="4871" max="4880" width="12.6640625" style="734" hidden="1" customWidth="1"/>
    <col min="4881" max="4881" width="2.6640625" style="734" hidden="1" customWidth="1"/>
    <col min="4882" max="5122" width="0" style="734" hidden="1"/>
    <col min="5123" max="5123" width="3.33203125" style="734" hidden="1" customWidth="1"/>
    <col min="5124" max="5126" width="2.6640625" style="734" hidden="1" customWidth="1"/>
    <col min="5127" max="5136" width="12.6640625" style="734" hidden="1" customWidth="1"/>
    <col min="5137" max="5137" width="2.6640625" style="734" hidden="1" customWidth="1"/>
    <col min="5138" max="5378" width="0" style="734" hidden="1"/>
    <col min="5379" max="5379" width="3.33203125" style="734" hidden="1" customWidth="1"/>
    <col min="5380" max="5382" width="2.6640625" style="734" hidden="1" customWidth="1"/>
    <col min="5383" max="5392" width="12.6640625" style="734" hidden="1" customWidth="1"/>
    <col min="5393" max="5393" width="2.6640625" style="734" hidden="1" customWidth="1"/>
    <col min="5394" max="5634" width="0" style="734" hidden="1"/>
    <col min="5635" max="5635" width="3.33203125" style="734" hidden="1" customWidth="1"/>
    <col min="5636" max="5638" width="2.6640625" style="734" hidden="1" customWidth="1"/>
    <col min="5639" max="5648" width="12.6640625" style="734" hidden="1" customWidth="1"/>
    <col min="5649" max="5649" width="2.6640625" style="734" hidden="1" customWidth="1"/>
    <col min="5650" max="5890" width="0" style="734" hidden="1"/>
    <col min="5891" max="5891" width="3.33203125" style="734" hidden="1" customWidth="1"/>
    <col min="5892" max="5894" width="2.6640625" style="734" hidden="1" customWidth="1"/>
    <col min="5895" max="5904" width="12.6640625" style="734" hidden="1" customWidth="1"/>
    <col min="5905" max="5905" width="2.6640625" style="734" hidden="1" customWidth="1"/>
    <col min="5906" max="6146" width="0" style="734" hidden="1"/>
    <col min="6147" max="6147" width="3.33203125" style="734" hidden="1" customWidth="1"/>
    <col min="6148" max="6150" width="2.6640625" style="734" hidden="1" customWidth="1"/>
    <col min="6151" max="6160" width="12.6640625" style="734" hidden="1" customWidth="1"/>
    <col min="6161" max="6161" width="2.6640625" style="734" hidden="1" customWidth="1"/>
    <col min="6162" max="6402" width="0" style="734" hidden="1"/>
    <col min="6403" max="6403" width="3.33203125" style="734" hidden="1" customWidth="1"/>
    <col min="6404" max="6406" width="2.6640625" style="734" hidden="1" customWidth="1"/>
    <col min="6407" max="6416" width="12.6640625" style="734" hidden="1" customWidth="1"/>
    <col min="6417" max="6417" width="2.6640625" style="734" hidden="1" customWidth="1"/>
    <col min="6418" max="6658" width="0" style="734" hidden="1"/>
    <col min="6659" max="6659" width="3.33203125" style="734" hidden="1" customWidth="1"/>
    <col min="6660" max="6662" width="2.6640625" style="734" hidden="1" customWidth="1"/>
    <col min="6663" max="6672" width="12.6640625" style="734" hidden="1" customWidth="1"/>
    <col min="6673" max="6673" width="2.6640625" style="734" hidden="1" customWidth="1"/>
    <col min="6674" max="6914" width="0" style="734" hidden="1"/>
    <col min="6915" max="6915" width="3.33203125" style="734" hidden="1" customWidth="1"/>
    <col min="6916" max="6918" width="2.6640625" style="734" hidden="1" customWidth="1"/>
    <col min="6919" max="6928" width="12.6640625" style="734" hidden="1" customWidth="1"/>
    <col min="6929" max="6929" width="2.6640625" style="734" hidden="1" customWidth="1"/>
    <col min="6930" max="7170" width="0" style="734" hidden="1"/>
    <col min="7171" max="7171" width="3.33203125" style="734" hidden="1" customWidth="1"/>
    <col min="7172" max="7174" width="2.6640625" style="734" hidden="1" customWidth="1"/>
    <col min="7175" max="7184" width="12.6640625" style="734" hidden="1" customWidth="1"/>
    <col min="7185" max="7185" width="2.6640625" style="734" hidden="1" customWidth="1"/>
    <col min="7186" max="7426" width="0" style="734" hidden="1"/>
    <col min="7427" max="7427" width="3.33203125" style="734" hidden="1" customWidth="1"/>
    <col min="7428" max="7430" width="2.6640625" style="734" hidden="1" customWidth="1"/>
    <col min="7431" max="7440" width="12.6640625" style="734" hidden="1" customWidth="1"/>
    <col min="7441" max="7441" width="2.6640625" style="734" hidden="1" customWidth="1"/>
    <col min="7442" max="7682" width="0" style="734" hidden="1"/>
    <col min="7683" max="7683" width="3.33203125" style="734" hidden="1" customWidth="1"/>
    <col min="7684" max="7686" width="2.6640625" style="734" hidden="1" customWidth="1"/>
    <col min="7687" max="7696" width="12.6640625" style="734" hidden="1" customWidth="1"/>
    <col min="7697" max="7697" width="2.6640625" style="734" hidden="1" customWidth="1"/>
    <col min="7698" max="7938" width="0" style="734" hidden="1"/>
    <col min="7939" max="7939" width="3.33203125" style="734" hidden="1" customWidth="1"/>
    <col min="7940" max="7942" width="2.6640625" style="734" hidden="1" customWidth="1"/>
    <col min="7943" max="7952" width="12.6640625" style="734" hidden="1" customWidth="1"/>
    <col min="7953" max="7953" width="2.6640625" style="734" hidden="1" customWidth="1"/>
    <col min="7954" max="8194" width="0" style="734" hidden="1"/>
    <col min="8195" max="8195" width="3.33203125" style="734" hidden="1" customWidth="1"/>
    <col min="8196" max="8198" width="2.6640625" style="734" hidden="1" customWidth="1"/>
    <col min="8199" max="8208" width="12.6640625" style="734" hidden="1" customWidth="1"/>
    <col min="8209" max="8209" width="2.6640625" style="734" hidden="1" customWidth="1"/>
    <col min="8210" max="8450" width="0" style="734" hidden="1"/>
    <col min="8451" max="8451" width="3.33203125" style="734" hidden="1" customWidth="1"/>
    <col min="8452" max="8454" width="2.6640625" style="734" hidden="1" customWidth="1"/>
    <col min="8455" max="8464" width="12.6640625" style="734" hidden="1" customWidth="1"/>
    <col min="8465" max="8465" width="2.6640625" style="734" hidden="1" customWidth="1"/>
    <col min="8466" max="8706" width="0" style="734" hidden="1"/>
    <col min="8707" max="8707" width="3.33203125" style="734" hidden="1" customWidth="1"/>
    <col min="8708" max="8710" width="2.6640625" style="734" hidden="1" customWidth="1"/>
    <col min="8711" max="8720" width="12.6640625" style="734" hidden="1" customWidth="1"/>
    <col min="8721" max="8721" width="2.6640625" style="734" hidden="1" customWidth="1"/>
    <col min="8722" max="8962" width="0" style="734" hidden="1"/>
    <col min="8963" max="8963" width="3.33203125" style="734" hidden="1" customWidth="1"/>
    <col min="8964" max="8966" width="2.6640625" style="734" hidden="1" customWidth="1"/>
    <col min="8967" max="8976" width="12.6640625" style="734" hidden="1" customWidth="1"/>
    <col min="8977" max="8977" width="2.6640625" style="734" hidden="1" customWidth="1"/>
    <col min="8978" max="9218" width="0" style="734" hidden="1"/>
    <col min="9219" max="9219" width="3.33203125" style="734" hidden="1" customWidth="1"/>
    <col min="9220" max="9222" width="2.6640625" style="734" hidden="1" customWidth="1"/>
    <col min="9223" max="9232" width="12.6640625" style="734" hidden="1" customWidth="1"/>
    <col min="9233" max="9233" width="2.6640625" style="734" hidden="1" customWidth="1"/>
    <col min="9234" max="9474" width="0" style="734" hidden="1"/>
    <col min="9475" max="9475" width="3.33203125" style="734" hidden="1" customWidth="1"/>
    <col min="9476" max="9478" width="2.6640625" style="734" hidden="1" customWidth="1"/>
    <col min="9479" max="9488" width="12.6640625" style="734" hidden="1" customWidth="1"/>
    <col min="9489" max="9489" width="2.6640625" style="734" hidden="1" customWidth="1"/>
    <col min="9490" max="9730" width="0" style="734" hidden="1"/>
    <col min="9731" max="9731" width="3.33203125" style="734" hidden="1" customWidth="1"/>
    <col min="9732" max="9734" width="2.6640625" style="734" hidden="1" customWidth="1"/>
    <col min="9735" max="9744" width="12.6640625" style="734" hidden="1" customWidth="1"/>
    <col min="9745" max="9745" width="2.6640625" style="734" hidden="1" customWidth="1"/>
    <col min="9746" max="9986" width="0" style="734" hidden="1"/>
    <col min="9987" max="9987" width="3.33203125" style="734" hidden="1" customWidth="1"/>
    <col min="9988" max="9990" width="2.6640625" style="734" hidden="1" customWidth="1"/>
    <col min="9991" max="10000" width="12.6640625" style="734" hidden="1" customWidth="1"/>
    <col min="10001" max="10001" width="2.6640625" style="734" hidden="1" customWidth="1"/>
    <col min="10002" max="10242" width="0" style="734" hidden="1"/>
    <col min="10243" max="10243" width="3.33203125" style="734" hidden="1" customWidth="1"/>
    <col min="10244" max="10246" width="2.6640625" style="734" hidden="1" customWidth="1"/>
    <col min="10247" max="10256" width="12.6640625" style="734" hidden="1" customWidth="1"/>
    <col min="10257" max="10257" width="2.6640625" style="734" hidden="1" customWidth="1"/>
    <col min="10258" max="10498" width="0" style="734" hidden="1"/>
    <col min="10499" max="10499" width="3.33203125" style="734" hidden="1" customWidth="1"/>
    <col min="10500" max="10502" width="2.6640625" style="734" hidden="1" customWidth="1"/>
    <col min="10503" max="10512" width="12.6640625" style="734" hidden="1" customWidth="1"/>
    <col min="10513" max="10513" width="2.6640625" style="734" hidden="1" customWidth="1"/>
    <col min="10514" max="10754" width="0" style="734" hidden="1"/>
    <col min="10755" max="10755" width="3.33203125" style="734" hidden="1" customWidth="1"/>
    <col min="10756" max="10758" width="2.6640625" style="734" hidden="1" customWidth="1"/>
    <col min="10759" max="10768" width="12.6640625" style="734" hidden="1" customWidth="1"/>
    <col min="10769" max="10769" width="2.6640625" style="734" hidden="1" customWidth="1"/>
    <col min="10770" max="11010" width="0" style="734" hidden="1"/>
    <col min="11011" max="11011" width="3.33203125" style="734" hidden="1" customWidth="1"/>
    <col min="11012" max="11014" width="2.6640625" style="734" hidden="1" customWidth="1"/>
    <col min="11015" max="11024" width="12.6640625" style="734" hidden="1" customWidth="1"/>
    <col min="11025" max="11025" width="2.6640625" style="734" hidden="1" customWidth="1"/>
    <col min="11026" max="11266" width="0" style="734" hidden="1"/>
    <col min="11267" max="11267" width="3.33203125" style="734" hidden="1" customWidth="1"/>
    <col min="11268" max="11270" width="2.6640625" style="734" hidden="1" customWidth="1"/>
    <col min="11271" max="11280" width="12.6640625" style="734" hidden="1" customWidth="1"/>
    <col min="11281" max="11281" width="2.6640625" style="734" hidden="1" customWidth="1"/>
    <col min="11282" max="11522" width="0" style="734" hidden="1"/>
    <col min="11523" max="11523" width="3.33203125" style="734" hidden="1" customWidth="1"/>
    <col min="11524" max="11526" width="2.6640625" style="734" hidden="1" customWidth="1"/>
    <col min="11527" max="11536" width="12.6640625" style="734" hidden="1" customWidth="1"/>
    <col min="11537" max="11537" width="2.6640625" style="734" hidden="1" customWidth="1"/>
    <col min="11538" max="11778" width="0" style="734" hidden="1"/>
    <col min="11779" max="11779" width="3.33203125" style="734" hidden="1" customWidth="1"/>
    <col min="11780" max="11782" width="2.6640625" style="734" hidden="1" customWidth="1"/>
    <col min="11783" max="11792" width="12.6640625" style="734" hidden="1" customWidth="1"/>
    <col min="11793" max="11793" width="2.6640625" style="734" hidden="1" customWidth="1"/>
    <col min="11794" max="12034" width="0" style="734" hidden="1"/>
    <col min="12035" max="12035" width="3.33203125" style="734" hidden="1" customWidth="1"/>
    <col min="12036" max="12038" width="2.6640625" style="734" hidden="1" customWidth="1"/>
    <col min="12039" max="12048" width="12.6640625" style="734" hidden="1" customWidth="1"/>
    <col min="12049" max="12049" width="2.6640625" style="734" hidden="1" customWidth="1"/>
    <col min="12050" max="12290" width="0" style="734" hidden="1"/>
    <col min="12291" max="12291" width="3.33203125" style="734" hidden="1" customWidth="1"/>
    <col min="12292" max="12294" width="2.6640625" style="734" hidden="1" customWidth="1"/>
    <col min="12295" max="12304" width="12.6640625" style="734" hidden="1" customWidth="1"/>
    <col min="12305" max="12305" width="2.6640625" style="734" hidden="1" customWidth="1"/>
    <col min="12306" max="12546" width="0" style="734" hidden="1"/>
    <col min="12547" max="12547" width="3.33203125" style="734" hidden="1" customWidth="1"/>
    <col min="12548" max="12550" width="2.6640625" style="734" hidden="1" customWidth="1"/>
    <col min="12551" max="12560" width="12.6640625" style="734" hidden="1" customWidth="1"/>
    <col min="12561" max="12561" width="2.6640625" style="734" hidden="1" customWidth="1"/>
    <col min="12562" max="12802" width="0" style="734" hidden="1"/>
    <col min="12803" max="12803" width="3.33203125" style="734" hidden="1" customWidth="1"/>
    <col min="12804" max="12806" width="2.6640625" style="734" hidden="1" customWidth="1"/>
    <col min="12807" max="12816" width="12.6640625" style="734" hidden="1" customWidth="1"/>
    <col min="12817" max="12817" width="2.6640625" style="734" hidden="1" customWidth="1"/>
    <col min="12818" max="13058" width="0" style="734" hidden="1"/>
    <col min="13059" max="13059" width="3.33203125" style="734" hidden="1" customWidth="1"/>
    <col min="13060" max="13062" width="2.6640625" style="734" hidden="1" customWidth="1"/>
    <col min="13063" max="13072" width="12.6640625" style="734" hidden="1" customWidth="1"/>
    <col min="13073" max="13073" width="2.6640625" style="734" hidden="1" customWidth="1"/>
    <col min="13074" max="13314" width="0" style="734" hidden="1"/>
    <col min="13315" max="13315" width="3.33203125" style="734" hidden="1" customWidth="1"/>
    <col min="13316" max="13318" width="2.6640625" style="734" hidden="1" customWidth="1"/>
    <col min="13319" max="13328" width="12.6640625" style="734" hidden="1" customWidth="1"/>
    <col min="13329" max="13329" width="2.6640625" style="734" hidden="1" customWidth="1"/>
    <col min="13330" max="13570" width="0" style="734" hidden="1"/>
    <col min="13571" max="13571" width="3.33203125" style="734" hidden="1" customWidth="1"/>
    <col min="13572" max="13574" width="2.6640625" style="734" hidden="1" customWidth="1"/>
    <col min="13575" max="13584" width="12.6640625" style="734" hidden="1" customWidth="1"/>
    <col min="13585" max="13585" width="2.6640625" style="734" hidden="1" customWidth="1"/>
    <col min="13586" max="13826" width="0" style="734" hidden="1"/>
    <col min="13827" max="13827" width="3.33203125" style="734" hidden="1" customWidth="1"/>
    <col min="13828" max="13830" width="2.6640625" style="734" hidden="1" customWidth="1"/>
    <col min="13831" max="13840" width="12.6640625" style="734" hidden="1" customWidth="1"/>
    <col min="13841" max="13841" width="2.6640625" style="734" hidden="1" customWidth="1"/>
    <col min="13842" max="14082" width="0" style="734" hidden="1"/>
    <col min="14083" max="14083" width="3.33203125" style="734" hidden="1" customWidth="1"/>
    <col min="14084" max="14086" width="2.6640625" style="734" hidden="1" customWidth="1"/>
    <col min="14087" max="14096" width="12.6640625" style="734" hidden="1" customWidth="1"/>
    <col min="14097" max="14097" width="2.6640625" style="734" hidden="1" customWidth="1"/>
    <col min="14098" max="14338" width="0" style="734" hidden="1"/>
    <col min="14339" max="14339" width="3.33203125" style="734" hidden="1" customWidth="1"/>
    <col min="14340" max="14342" width="2.6640625" style="734" hidden="1" customWidth="1"/>
    <col min="14343" max="14352" width="12.6640625" style="734" hidden="1" customWidth="1"/>
    <col min="14353" max="14353" width="2.6640625" style="734" hidden="1" customWidth="1"/>
    <col min="14354" max="14594" width="0" style="734" hidden="1"/>
    <col min="14595" max="14595" width="3.33203125" style="734" hidden="1" customWidth="1"/>
    <col min="14596" max="14598" width="2.6640625" style="734" hidden="1" customWidth="1"/>
    <col min="14599" max="14608" width="12.6640625" style="734" hidden="1" customWidth="1"/>
    <col min="14609" max="14609" width="2.6640625" style="734" hidden="1" customWidth="1"/>
    <col min="14610" max="14850" width="0" style="734" hidden="1"/>
    <col min="14851" max="14851" width="3.33203125" style="734" hidden="1" customWidth="1"/>
    <col min="14852" max="14854" width="2.6640625" style="734" hidden="1" customWidth="1"/>
    <col min="14855" max="14864" width="12.6640625" style="734" hidden="1" customWidth="1"/>
    <col min="14865" max="14865" width="2.6640625" style="734" hidden="1" customWidth="1"/>
    <col min="14866" max="15106" width="0" style="734" hidden="1"/>
    <col min="15107" max="15107" width="3.33203125" style="734" hidden="1" customWidth="1"/>
    <col min="15108" max="15110" width="2.6640625" style="734" hidden="1" customWidth="1"/>
    <col min="15111" max="15120" width="12.6640625" style="734" hidden="1" customWidth="1"/>
    <col min="15121" max="15121" width="2.6640625" style="734" hidden="1" customWidth="1"/>
    <col min="15122" max="15362" width="0" style="734" hidden="1"/>
    <col min="15363" max="15363" width="3.33203125" style="734" hidden="1" customWidth="1"/>
    <col min="15364" max="15366" width="2.6640625" style="734" hidden="1" customWidth="1"/>
    <col min="15367" max="15376" width="12.6640625" style="734" hidden="1" customWidth="1"/>
    <col min="15377" max="15377" width="2.6640625" style="734" hidden="1" customWidth="1"/>
    <col min="15378" max="15618" width="0" style="734" hidden="1"/>
    <col min="15619" max="15619" width="3.33203125" style="734" hidden="1" customWidth="1"/>
    <col min="15620" max="15622" width="2.6640625" style="734" hidden="1" customWidth="1"/>
    <col min="15623" max="15632" width="12.6640625" style="734" hidden="1" customWidth="1"/>
    <col min="15633" max="15633" width="2.6640625" style="734" hidden="1" customWidth="1"/>
    <col min="15634" max="15874" width="0" style="734" hidden="1"/>
    <col min="15875" max="15875" width="3.33203125" style="734" hidden="1" customWidth="1"/>
    <col min="15876" max="15878" width="2.6640625" style="734" hidden="1" customWidth="1"/>
    <col min="15879" max="15888" width="12.6640625" style="734" hidden="1" customWidth="1"/>
    <col min="15889" max="15889" width="2.6640625" style="734" hidden="1" customWidth="1"/>
    <col min="15890" max="16130" width="0" style="734" hidden="1"/>
    <col min="16131" max="16131" width="3.33203125" style="734" hidden="1" customWidth="1"/>
    <col min="16132" max="16134" width="2.6640625" style="734" hidden="1" customWidth="1"/>
    <col min="16135" max="16144" width="12.6640625" style="734" hidden="1" customWidth="1"/>
    <col min="16145" max="16145" width="2.6640625" style="734" hidden="1" customWidth="1"/>
    <col min="16146" max="16384" width="0" style="734" hidden="1"/>
  </cols>
  <sheetData>
    <row r="1" spans="1:20" s="707" customFormat="1" ht="13.2" x14ac:dyDescent="0.25">
      <c r="A1" s="1465" t="s">
        <v>639</v>
      </c>
    </row>
    <row r="2" spans="1:20" s="707" customFormat="1" ht="13.2" x14ac:dyDescent="0.25">
      <c r="A2" s="708"/>
    </row>
    <row r="3" spans="1:20" s="711" customFormat="1" ht="12.75" customHeight="1" x14ac:dyDescent="0.25">
      <c r="A3" s="716" t="s">
        <v>557</v>
      </c>
      <c r="B3" s="717"/>
      <c r="C3" s="717"/>
      <c r="D3" s="718"/>
      <c r="E3" s="718"/>
      <c r="F3" s="719"/>
      <c r="G3" s="719"/>
      <c r="H3" s="719"/>
      <c r="I3" s="719"/>
      <c r="J3" s="719"/>
      <c r="K3" s="719"/>
      <c r="L3" s="719"/>
      <c r="M3" s="719"/>
      <c r="N3" s="719"/>
      <c r="O3" s="719"/>
      <c r="P3" s="719"/>
      <c r="Q3" s="714"/>
      <c r="R3" s="715"/>
      <c r="S3" s="707"/>
      <c r="T3" s="707"/>
    </row>
    <row r="4" spans="1:20" s="711" customFormat="1" ht="12.75" customHeight="1" x14ac:dyDescent="0.25">
      <c r="A4" s="710"/>
      <c r="B4" s="707"/>
      <c r="F4" s="712"/>
      <c r="G4" s="712"/>
      <c r="H4" s="712"/>
      <c r="I4" s="712"/>
      <c r="J4" s="713"/>
      <c r="K4" s="713"/>
      <c r="L4" s="713"/>
      <c r="M4" s="713"/>
      <c r="N4" s="713"/>
      <c r="O4" s="713"/>
      <c r="P4" s="713"/>
      <c r="Q4" s="714"/>
      <c r="R4" s="715"/>
      <c r="S4" s="707"/>
      <c r="T4" s="707"/>
    </row>
    <row r="5" spans="1:20" s="711" customFormat="1" ht="12.75" customHeight="1" x14ac:dyDescent="0.25">
      <c r="A5" s="710"/>
      <c r="B5" s="707"/>
      <c r="F5" s="712"/>
      <c r="G5" s="712"/>
      <c r="H5" s="712"/>
      <c r="I5" s="712"/>
      <c r="J5" s="713"/>
      <c r="K5" s="713"/>
      <c r="L5" s="713"/>
      <c r="M5" s="713"/>
      <c r="N5" s="713"/>
      <c r="O5" s="713"/>
      <c r="P5" s="713"/>
      <c r="Q5" s="714"/>
      <c r="R5" s="715"/>
      <c r="S5" s="707"/>
      <c r="T5" s="707"/>
    </row>
    <row r="6" spans="1:20" s="711" customFormat="1" ht="12.75" customHeight="1" x14ac:dyDescent="0.25">
      <c r="A6" s="710"/>
      <c r="B6" s="707" t="s">
        <v>338</v>
      </c>
      <c r="F6" s="712"/>
      <c r="G6" s="712"/>
      <c r="H6" s="712"/>
      <c r="I6" s="712"/>
      <c r="J6" s="713"/>
      <c r="K6" s="713"/>
      <c r="L6" s="713"/>
      <c r="M6" s="713"/>
      <c r="N6" s="713"/>
      <c r="O6" s="713"/>
      <c r="P6" s="713"/>
      <c r="Q6" s="714"/>
      <c r="R6" s="715"/>
      <c r="S6" s="707"/>
      <c r="T6" s="707"/>
    </row>
    <row r="7" spans="1:20" s="711" customFormat="1" ht="12.75" customHeight="1" x14ac:dyDescent="0.25">
      <c r="A7" s="710"/>
      <c r="B7" s="707"/>
      <c r="F7" s="712"/>
      <c r="G7" s="712"/>
      <c r="H7" s="712"/>
      <c r="I7" s="712"/>
      <c r="J7" s="713"/>
      <c r="K7" s="713"/>
      <c r="L7" s="713"/>
      <c r="M7" s="713"/>
      <c r="N7" s="713"/>
      <c r="O7" s="713"/>
      <c r="P7" s="713"/>
      <c r="Q7" s="714"/>
      <c r="R7" s="715"/>
      <c r="S7" s="707"/>
      <c r="T7" s="707"/>
    </row>
    <row r="8" spans="1:20" s="711" customFormat="1" ht="12.75" customHeight="1" x14ac:dyDescent="0.25">
      <c r="A8" s="710"/>
      <c r="B8" s="707"/>
      <c r="F8" s="712"/>
      <c r="G8" s="712"/>
      <c r="H8" s="712"/>
      <c r="I8" s="712"/>
      <c r="J8" s="713"/>
      <c r="K8" s="713"/>
      <c r="L8" s="713"/>
      <c r="M8" s="713"/>
      <c r="N8" s="713"/>
      <c r="O8" s="713"/>
      <c r="P8" s="713"/>
      <c r="Q8" s="714"/>
      <c r="R8" s="715"/>
      <c r="S8" s="707"/>
      <c r="T8" s="707"/>
    </row>
    <row r="9" spans="1:20" s="711" customFormat="1" ht="12.75" customHeight="1" x14ac:dyDescent="0.25">
      <c r="A9" s="710"/>
      <c r="B9" s="707"/>
      <c r="F9" s="712"/>
      <c r="G9" s="712"/>
      <c r="H9" s="712"/>
      <c r="I9" s="712"/>
      <c r="J9" s="713"/>
      <c r="K9" s="713"/>
      <c r="L9" s="713"/>
      <c r="M9" s="713"/>
      <c r="N9" s="713"/>
      <c r="O9" s="713"/>
      <c r="P9" s="713"/>
      <c r="Q9" s="714"/>
      <c r="R9" s="715"/>
      <c r="S9" s="707"/>
      <c r="T9" s="707"/>
    </row>
    <row r="10" spans="1:20" s="711" customFormat="1" ht="12.75" customHeight="1" x14ac:dyDescent="0.25">
      <c r="A10" s="710"/>
      <c r="B10" s="707"/>
      <c r="F10" s="712"/>
      <c r="G10" s="712"/>
      <c r="H10" s="712"/>
      <c r="I10" s="712"/>
      <c r="J10" s="713"/>
      <c r="K10" s="713"/>
      <c r="L10" s="713"/>
      <c r="M10" s="713"/>
      <c r="N10" s="713"/>
      <c r="O10" s="713"/>
      <c r="P10" s="713"/>
      <c r="Q10" s="714"/>
      <c r="R10" s="715"/>
      <c r="S10" s="707"/>
      <c r="T10" s="707"/>
    </row>
    <row r="11" spans="1:20" s="711" customFormat="1" ht="12.75" customHeight="1" x14ac:dyDescent="0.25">
      <c r="A11" s="710"/>
      <c r="B11" s="707"/>
      <c r="F11" s="712"/>
      <c r="G11" s="712"/>
      <c r="H11" s="712"/>
      <c r="I11" s="712"/>
      <c r="J11" s="713"/>
      <c r="K11" s="713"/>
      <c r="L11" s="713"/>
      <c r="M11" s="713"/>
      <c r="N11" s="713"/>
      <c r="O11" s="713"/>
      <c r="P11" s="713"/>
      <c r="Q11" s="714"/>
      <c r="R11" s="715"/>
      <c r="S11" s="707"/>
      <c r="T11" s="707"/>
    </row>
    <row r="12" spans="1:20" s="711" customFormat="1" ht="12.75" customHeight="1" x14ac:dyDescent="0.25">
      <c r="A12" s="710"/>
      <c r="B12" s="707"/>
      <c r="F12" s="712"/>
      <c r="G12" s="712"/>
      <c r="H12" s="712"/>
      <c r="I12" s="712"/>
      <c r="J12" s="713"/>
      <c r="K12" s="713"/>
      <c r="L12" s="713"/>
      <c r="M12" s="713"/>
      <c r="N12" s="713"/>
      <c r="O12" s="713"/>
      <c r="P12" s="713"/>
      <c r="Q12" s="714"/>
      <c r="R12" s="715"/>
      <c r="S12" s="707"/>
      <c r="T12" s="707"/>
    </row>
    <row r="13" spans="1:20" s="711" customFormat="1" ht="12.75" customHeight="1" x14ac:dyDescent="0.25">
      <c r="A13" s="710"/>
      <c r="B13" s="707"/>
      <c r="F13" s="712"/>
      <c r="G13" s="712"/>
      <c r="H13" s="712"/>
      <c r="I13" s="712"/>
      <c r="J13" s="713"/>
      <c r="K13" s="713"/>
      <c r="L13" s="713"/>
      <c r="M13" s="713"/>
      <c r="N13" s="713"/>
      <c r="O13" s="713"/>
      <c r="P13" s="713"/>
      <c r="Q13" s="714"/>
      <c r="R13" s="715"/>
      <c r="S13" s="707"/>
      <c r="T13" s="707"/>
    </row>
    <row r="14" spans="1:20" s="711" customFormat="1" ht="12.75" customHeight="1" x14ac:dyDescent="0.25">
      <c r="A14" s="710"/>
      <c r="B14" s="707"/>
      <c r="C14" s="707" t="s">
        <v>421</v>
      </c>
      <c r="F14" s="712"/>
      <c r="G14" s="712"/>
      <c r="H14" s="712"/>
      <c r="I14" s="712"/>
      <c r="J14" s="713"/>
      <c r="K14" s="713"/>
      <c r="L14" s="713"/>
      <c r="M14" s="713"/>
      <c r="N14" s="713"/>
      <c r="O14" s="713"/>
      <c r="P14" s="713"/>
      <c r="Q14" s="714"/>
      <c r="R14" s="715"/>
      <c r="S14" s="707"/>
      <c r="T14" s="707"/>
    </row>
    <row r="15" spans="1:20" s="711" customFormat="1" ht="12.75" customHeight="1" x14ac:dyDescent="0.25">
      <c r="A15" s="710"/>
      <c r="B15" s="707"/>
      <c r="C15" s="707" t="s">
        <v>422</v>
      </c>
      <c r="F15" s="712"/>
      <c r="G15" s="712"/>
      <c r="H15" s="712"/>
      <c r="I15" s="712"/>
      <c r="J15" s="713"/>
      <c r="K15" s="713"/>
      <c r="L15" s="713"/>
      <c r="M15" s="713"/>
      <c r="N15" s="713"/>
      <c r="O15" s="713"/>
      <c r="P15" s="713"/>
      <c r="Q15" s="714"/>
      <c r="R15" s="715"/>
      <c r="S15" s="707"/>
      <c r="T15" s="707"/>
    </row>
    <row r="16" spans="1:20" s="711" customFormat="1" ht="12.75" customHeight="1" x14ac:dyDescent="0.25">
      <c r="A16" s="710"/>
      <c r="B16" s="707"/>
      <c r="C16" s="707" t="s">
        <v>423</v>
      </c>
      <c r="F16" s="712"/>
      <c r="G16" s="712"/>
      <c r="H16" s="712"/>
      <c r="I16" s="712"/>
      <c r="J16" s="713"/>
      <c r="K16" s="713"/>
      <c r="L16" s="713"/>
      <c r="M16" s="713"/>
      <c r="N16" s="713"/>
      <c r="O16" s="713"/>
      <c r="P16" s="713"/>
      <c r="Q16" s="714"/>
      <c r="R16" s="715"/>
      <c r="S16" s="707"/>
      <c r="T16" s="707"/>
    </row>
    <row r="17" spans="1:20" s="711" customFormat="1" ht="12.75" customHeight="1" x14ac:dyDescent="0.25">
      <c r="A17" s="710"/>
      <c r="B17" s="707"/>
      <c r="C17" s="707" t="s">
        <v>424</v>
      </c>
      <c r="F17" s="712"/>
      <c r="G17" s="712"/>
      <c r="H17" s="712"/>
      <c r="I17" s="712"/>
      <c r="J17" s="713"/>
      <c r="K17" s="713"/>
      <c r="L17" s="713"/>
      <c r="M17" s="713"/>
      <c r="N17" s="713"/>
      <c r="O17" s="713"/>
      <c r="P17" s="713"/>
      <c r="Q17" s="714"/>
      <c r="R17" s="715"/>
      <c r="S17" s="707"/>
      <c r="T17" s="707"/>
    </row>
    <row r="18" spans="1:20" s="711" customFormat="1" ht="12.75" customHeight="1" x14ac:dyDescent="0.25">
      <c r="A18" s="710"/>
      <c r="B18" s="707"/>
      <c r="C18" s="707" t="s">
        <v>425</v>
      </c>
      <c r="F18" s="712"/>
      <c r="G18" s="712"/>
      <c r="H18" s="712"/>
      <c r="I18" s="712"/>
      <c r="J18" s="713"/>
      <c r="K18" s="713"/>
      <c r="L18" s="713"/>
      <c r="M18" s="713"/>
      <c r="N18" s="713"/>
      <c r="O18" s="713"/>
      <c r="P18" s="713"/>
      <c r="Q18" s="714"/>
      <c r="R18" s="715"/>
      <c r="S18" s="707"/>
      <c r="T18" s="707"/>
    </row>
    <row r="19" spans="1:20" s="711" customFormat="1" ht="12.75" customHeight="1" x14ac:dyDescent="0.25">
      <c r="A19" s="710"/>
      <c r="B19" s="707"/>
      <c r="C19" s="707" t="s">
        <v>426</v>
      </c>
      <c r="F19" s="712"/>
      <c r="G19" s="712"/>
      <c r="H19" s="712"/>
      <c r="I19" s="712"/>
      <c r="J19" s="713"/>
      <c r="K19" s="713"/>
      <c r="L19" s="713"/>
      <c r="M19" s="713"/>
      <c r="N19" s="713"/>
      <c r="O19" s="713"/>
      <c r="P19" s="713"/>
      <c r="Q19" s="714"/>
      <c r="R19" s="715"/>
      <c r="S19" s="707"/>
      <c r="T19" s="707"/>
    </row>
    <row r="20" spans="1:20" s="711" customFormat="1" ht="12.75" customHeight="1" x14ac:dyDescent="0.25">
      <c r="A20" s="710"/>
      <c r="B20" s="707"/>
      <c r="F20" s="712"/>
      <c r="G20" s="712"/>
      <c r="H20" s="712"/>
      <c r="I20" s="712"/>
      <c r="J20" s="713"/>
      <c r="K20" s="713"/>
      <c r="L20" s="713"/>
      <c r="M20" s="713"/>
      <c r="N20" s="713"/>
      <c r="O20" s="713"/>
      <c r="P20" s="713"/>
      <c r="Q20" s="714"/>
      <c r="R20" s="715"/>
      <c r="S20" s="707"/>
      <c r="T20" s="707"/>
    </row>
    <row r="21" spans="1:20" s="711" customFormat="1" ht="12.75" customHeight="1" x14ac:dyDescent="0.25">
      <c r="A21" s="710"/>
      <c r="B21" s="707"/>
      <c r="F21" s="712"/>
      <c r="G21" s="712"/>
      <c r="H21" s="712"/>
      <c r="I21" s="712"/>
      <c r="J21" s="713"/>
      <c r="K21" s="713"/>
      <c r="L21" s="713"/>
      <c r="M21" s="713"/>
      <c r="N21" s="713"/>
      <c r="O21" s="713"/>
      <c r="P21" s="713"/>
      <c r="Q21" s="714"/>
      <c r="R21" s="715"/>
      <c r="S21" s="707"/>
      <c r="T21" s="707"/>
    </row>
    <row r="22" spans="1:20" s="711" customFormat="1" ht="12.75" customHeight="1" x14ac:dyDescent="0.25">
      <c r="A22" s="710"/>
      <c r="B22" s="707"/>
      <c r="F22" s="712"/>
      <c r="G22" s="712"/>
      <c r="H22" s="712"/>
      <c r="I22" s="712"/>
      <c r="J22" s="713"/>
      <c r="K22" s="713"/>
      <c r="L22" s="713"/>
      <c r="M22" s="713"/>
      <c r="N22" s="713"/>
      <c r="O22" s="713"/>
      <c r="P22" s="713"/>
      <c r="Q22" s="714"/>
      <c r="R22" s="715"/>
      <c r="S22" s="707"/>
      <c r="T22" s="707"/>
    </row>
    <row r="23" spans="1:20" s="711" customFormat="1" ht="12.75" customHeight="1" x14ac:dyDescent="0.25">
      <c r="A23" s="710"/>
      <c r="B23" s="707"/>
      <c r="F23" s="712"/>
      <c r="G23" s="712"/>
      <c r="H23" s="712"/>
      <c r="I23" s="712"/>
      <c r="J23" s="713"/>
      <c r="K23" s="713"/>
      <c r="L23" s="713"/>
      <c r="M23" s="713"/>
      <c r="N23" s="713"/>
      <c r="O23" s="713"/>
      <c r="P23" s="713"/>
      <c r="Q23" s="714"/>
      <c r="R23" s="715"/>
      <c r="S23" s="707"/>
      <c r="T23" s="707"/>
    </row>
    <row r="24" spans="1:20" s="711" customFormat="1" ht="12.75" customHeight="1" x14ac:dyDescent="0.25">
      <c r="A24" s="710"/>
      <c r="B24" s="707"/>
      <c r="F24" s="712"/>
      <c r="G24" s="712"/>
      <c r="H24" s="712"/>
      <c r="I24" s="712"/>
      <c r="J24" s="713"/>
      <c r="K24" s="713"/>
      <c r="L24" s="713"/>
      <c r="M24" s="713"/>
      <c r="N24" s="713"/>
      <c r="O24" s="713"/>
      <c r="P24" s="713"/>
      <c r="Q24" s="714"/>
      <c r="R24" s="715"/>
      <c r="S24" s="707"/>
      <c r="T24" s="707"/>
    </row>
    <row r="25" spans="1:20" s="711" customFormat="1" ht="12.75" customHeight="1" x14ac:dyDescent="0.25">
      <c r="A25" s="710"/>
      <c r="B25" s="707"/>
      <c r="F25" s="712"/>
      <c r="G25" s="712"/>
      <c r="H25" s="712"/>
      <c r="I25" s="712"/>
      <c r="J25" s="713"/>
      <c r="K25" s="713"/>
      <c r="L25" s="713"/>
      <c r="M25" s="713"/>
      <c r="N25" s="713"/>
      <c r="O25" s="713"/>
      <c r="P25" s="713"/>
      <c r="Q25" s="714"/>
      <c r="R25" s="715"/>
      <c r="S25" s="707"/>
      <c r="T25" s="707"/>
    </row>
    <row r="26" spans="1:20" s="711" customFormat="1" ht="12.75" customHeight="1" x14ac:dyDescent="0.25">
      <c r="A26" s="710"/>
      <c r="B26" s="707"/>
      <c r="F26" s="712"/>
      <c r="G26" s="712"/>
      <c r="H26" s="712"/>
      <c r="I26" s="712"/>
      <c r="J26" s="713"/>
      <c r="K26" s="713"/>
      <c r="L26" s="713"/>
      <c r="M26" s="713"/>
      <c r="N26" s="713"/>
      <c r="O26" s="713"/>
      <c r="P26" s="713"/>
      <c r="Q26" s="714"/>
      <c r="R26" s="715"/>
      <c r="S26" s="707"/>
      <c r="T26" s="707"/>
    </row>
    <row r="27" spans="1:20" s="711" customFormat="1" ht="12.75" customHeight="1" x14ac:dyDescent="0.25">
      <c r="A27" s="710"/>
      <c r="B27" s="707"/>
      <c r="F27" s="712"/>
      <c r="G27" s="712"/>
      <c r="H27" s="712"/>
      <c r="I27" s="712"/>
      <c r="J27" s="713"/>
      <c r="K27" s="713"/>
      <c r="L27" s="713"/>
      <c r="M27" s="713"/>
      <c r="N27" s="713"/>
      <c r="O27" s="713"/>
      <c r="P27" s="713"/>
      <c r="Q27" s="714"/>
      <c r="R27" s="715"/>
      <c r="S27" s="707"/>
      <c r="T27" s="707"/>
    </row>
    <row r="28" spans="1:20" s="711" customFormat="1" ht="12.75" customHeight="1" x14ac:dyDescent="0.25">
      <c r="A28" s="710"/>
      <c r="B28" s="707"/>
      <c r="F28" s="712"/>
      <c r="G28" s="712"/>
      <c r="H28" s="712"/>
      <c r="I28" s="712"/>
      <c r="J28" s="713"/>
      <c r="K28" s="713"/>
      <c r="L28" s="713"/>
      <c r="M28" s="713"/>
      <c r="N28" s="713"/>
      <c r="O28" s="713"/>
      <c r="P28" s="713"/>
      <c r="Q28" s="714"/>
      <c r="R28" s="715"/>
      <c r="S28" s="707"/>
      <c r="T28" s="707"/>
    </row>
    <row r="29" spans="1:20" s="711" customFormat="1" ht="12.75" customHeight="1" x14ac:dyDescent="0.25">
      <c r="A29" s="710"/>
      <c r="B29" s="707"/>
      <c r="F29" s="712"/>
      <c r="G29" s="712"/>
      <c r="H29" s="712"/>
      <c r="I29" s="712"/>
      <c r="J29" s="713"/>
      <c r="K29" s="713"/>
      <c r="L29" s="713"/>
      <c r="M29" s="713"/>
      <c r="N29" s="713"/>
      <c r="O29" s="713"/>
      <c r="P29" s="713"/>
      <c r="Q29" s="714"/>
      <c r="R29" s="715"/>
      <c r="S29" s="707"/>
      <c r="T29" s="707"/>
    </row>
    <row r="30" spans="1:20" s="711" customFormat="1" ht="12.75" customHeight="1" x14ac:dyDescent="0.25">
      <c r="A30" s="710"/>
      <c r="B30" s="707"/>
      <c r="F30" s="712"/>
      <c r="G30" s="712"/>
      <c r="H30" s="712"/>
      <c r="I30" s="712"/>
      <c r="J30" s="713"/>
      <c r="K30" s="713"/>
      <c r="L30" s="713"/>
      <c r="M30" s="713"/>
      <c r="N30" s="713"/>
      <c r="O30" s="713"/>
      <c r="P30" s="713"/>
      <c r="Q30" s="714"/>
      <c r="R30" s="715"/>
      <c r="S30" s="707"/>
      <c r="T30" s="707"/>
    </row>
    <row r="31" spans="1:20" s="711" customFormat="1" ht="12.75" customHeight="1" x14ac:dyDescent="0.25">
      <c r="A31" s="710"/>
      <c r="B31" s="707"/>
      <c r="F31" s="712"/>
      <c r="G31" s="712"/>
      <c r="H31" s="712"/>
      <c r="I31" s="712"/>
      <c r="J31" s="713"/>
      <c r="K31" s="713"/>
      <c r="L31" s="713"/>
      <c r="M31" s="713"/>
      <c r="N31" s="713"/>
      <c r="O31" s="713"/>
      <c r="P31" s="713"/>
      <c r="Q31" s="714"/>
      <c r="R31" s="715"/>
      <c r="S31" s="707"/>
      <c r="T31" s="707"/>
    </row>
    <row r="32" spans="1:20" s="711" customFormat="1" ht="12.75" customHeight="1" x14ac:dyDescent="0.25">
      <c r="A32" s="710"/>
      <c r="B32" s="707"/>
      <c r="F32" s="712"/>
      <c r="G32" s="712"/>
      <c r="H32" s="712"/>
      <c r="I32" s="712"/>
      <c r="J32" s="713"/>
      <c r="K32" s="713"/>
      <c r="L32" s="713"/>
      <c r="M32" s="713"/>
      <c r="N32" s="713"/>
      <c r="O32" s="713"/>
      <c r="P32" s="713"/>
      <c r="Q32" s="714"/>
      <c r="R32" s="715"/>
      <c r="S32" s="707"/>
      <c r="T32" s="707"/>
    </row>
    <row r="33" spans="1:20" s="711" customFormat="1" ht="12.75" customHeight="1" x14ac:dyDescent="0.25">
      <c r="A33" s="710"/>
      <c r="B33" s="707"/>
      <c r="F33" s="712"/>
      <c r="G33" s="712"/>
      <c r="H33" s="712"/>
      <c r="I33" s="712"/>
      <c r="J33" s="713"/>
      <c r="K33" s="713"/>
      <c r="L33" s="713"/>
      <c r="M33" s="713"/>
      <c r="N33" s="713"/>
      <c r="O33" s="713"/>
      <c r="P33" s="713"/>
      <c r="Q33" s="714"/>
      <c r="R33" s="715"/>
      <c r="S33" s="707"/>
      <c r="T33" s="707"/>
    </row>
    <row r="34" spans="1:20" ht="12.75" customHeight="1" x14ac:dyDescent="0.25"/>
    <row r="35" spans="1:20" ht="12.75" customHeight="1" x14ac:dyDescent="0.25"/>
    <row r="36" spans="1:20" ht="12.75" hidden="1" customHeight="1" x14ac:dyDescent="0.25"/>
    <row r="37" spans="1:20" ht="12.75" hidden="1" customHeight="1" x14ac:dyDescent="0.25"/>
    <row r="38" spans="1:20" ht="12.75" hidden="1" customHeight="1" x14ac:dyDescent="0.25"/>
    <row r="39" spans="1:20" ht="12.75" hidden="1" customHeight="1" x14ac:dyDescent="0.25"/>
    <row r="40" spans="1:20" ht="12.75" hidden="1" customHeight="1" x14ac:dyDescent="0.25"/>
    <row r="41" spans="1:20" ht="12.75" hidden="1" customHeight="1" x14ac:dyDescent="0.25"/>
    <row r="42" spans="1:20" ht="12.75" hidden="1" customHeight="1" x14ac:dyDescent="0.25"/>
    <row r="43" spans="1:20" ht="12.75" hidden="1" customHeight="1" x14ac:dyDescent="0.25"/>
    <row r="44" spans="1:20" ht="12.75" hidden="1" customHeight="1" x14ac:dyDescent="0.25"/>
    <row r="45" spans="1:20" ht="12.75" hidden="1" customHeight="1" x14ac:dyDescent="0.25"/>
    <row r="46" spans="1:20" ht="12.75" hidden="1" customHeight="1" x14ac:dyDescent="0.25"/>
    <row r="47" spans="1:20" ht="12.75" hidden="1" customHeight="1" x14ac:dyDescent="0.25"/>
    <row r="48" spans="1:20"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Additional Data</vt:lpstr>
      <vt:lpstr>VIII. Supplementary Info</vt:lpstr>
      <vt:lpstr>IX. Notes</vt:lpstr>
      <vt:lpstr>xx. Sensitivity Outputs</vt:lpstr>
      <vt:lpstr>xx. Report Table</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'VIII. Supplementary Info'!Print_Area</vt:lpstr>
      <vt:lpstr>'xx. Report Table'!Print_Area</vt:lpstr>
      <vt:lpstr>'xx. Sensitivity Outputs'!Print_Area</vt:lpstr>
      <vt:lpstr>SELECTION</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2014-07-08T03:25:17Z</cp:lastPrinted>
  <dcterms:created xsi:type="dcterms:W3CDTF">2012-12-25T17:19:10Z</dcterms:created>
  <dcterms:modified xsi:type="dcterms:W3CDTF">2016-11-03T14:12:14Z</dcterms:modified>
</cp:coreProperties>
</file>